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93FBAE31-5AD7-493E-BBFB-8E6D02A344A1}" xr6:coauthVersionLast="47" xr6:coauthVersionMax="47" xr10:uidLastSave="{00000000-0000-0000-0000-000000000000}"/>
  <bookViews>
    <workbookView xWindow="-98" yWindow="-98" windowWidth="28996" windowHeight="15796" firstSheet="2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Input'!$A$1:$I$59</definedName>
    <definedName name="_xlnm.Print_Area" localSheetId="2">'Financial Input'!$A$1:$N$64</definedName>
    <definedName name="_xlnm.Print_Area" localSheetId="0">Summary!$B$1:$AX$36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1" i="4" l="1"/>
  <c r="AW31" i="4"/>
  <c r="AX30" i="4"/>
  <c r="AW30" i="4"/>
  <c r="AX33" i="4"/>
  <c r="AX32" i="4"/>
  <c r="AW32" i="4"/>
  <c r="AW33" i="4"/>
  <c r="AW34" i="4" l="1"/>
  <c r="F31" i="3" l="1"/>
  <c r="K11" i="5"/>
  <c r="K15" i="5"/>
  <c r="G32" i="3"/>
  <c r="B107" i="4" s="1"/>
  <c r="F32" i="3"/>
  <c r="B87" i="4" s="1"/>
  <c r="C32" i="3"/>
  <c r="C107" i="4" s="1"/>
  <c r="B32" i="3"/>
  <c r="B126" i="4"/>
  <c r="C126" i="4"/>
  <c r="B127" i="4"/>
  <c r="C127" i="4"/>
  <c r="B128" i="4"/>
  <c r="D128" i="4" s="1"/>
  <c r="C128" i="4"/>
  <c r="C106" i="4"/>
  <c r="B108" i="4"/>
  <c r="C108" i="4"/>
  <c r="C87" i="4"/>
  <c r="C88" i="4"/>
  <c r="B86" i="4"/>
  <c r="AU30" i="4" s="1"/>
  <c r="B88" i="4"/>
  <c r="D88" i="4" s="1"/>
  <c r="G31" i="3"/>
  <c r="B106" i="4" s="1"/>
  <c r="C31" i="3"/>
  <c r="B31" i="3"/>
  <c r="C86" i="4" s="1"/>
  <c r="AT30" i="4" s="1"/>
  <c r="D127" i="4"/>
  <c r="D108" i="4"/>
  <c r="C68" i="4"/>
  <c r="C66" i="4"/>
  <c r="C67" i="4"/>
  <c r="B66" i="4"/>
  <c r="B67" i="4"/>
  <c r="B68" i="4"/>
  <c r="H55" i="3"/>
  <c r="H56" i="3"/>
  <c r="H57" i="3"/>
  <c r="H54" i="3"/>
  <c r="AT31" i="4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40" i="3"/>
  <c r="AT32" i="4"/>
  <c r="H30" i="3"/>
  <c r="B125" i="4" s="1"/>
  <c r="AR32" i="4" s="1"/>
  <c r="D30" i="3"/>
  <c r="C125" i="4" s="1"/>
  <c r="AQ32" i="4" s="1"/>
  <c r="C30" i="3"/>
  <c r="C105" i="4" s="1"/>
  <c r="AQ31" i="4" s="1"/>
  <c r="G18" i="3"/>
  <c r="G30" i="3"/>
  <c r="B105" i="4" s="1"/>
  <c r="AR31" i="4" s="1"/>
  <c r="F30" i="3"/>
  <c r="B85" i="4" s="1"/>
  <c r="AR30" i="4" s="1"/>
  <c r="B30" i="3"/>
  <c r="C85" i="4" s="1"/>
  <c r="AQ30" i="4" s="1"/>
  <c r="B124" i="4"/>
  <c r="C124" i="4"/>
  <c r="B65" i="4"/>
  <c r="C65" i="4"/>
  <c r="D67" i="4" l="1"/>
  <c r="D87" i="4"/>
  <c r="D107" i="4"/>
  <c r="D68" i="4"/>
  <c r="D106" i="4"/>
  <c r="D126" i="4"/>
  <c r="D66" i="4"/>
  <c r="D86" i="4"/>
  <c r="AU32" i="4"/>
  <c r="AU31" i="4"/>
  <c r="AT33" i="4"/>
  <c r="D65" i="4"/>
  <c r="AQ33" i="4"/>
  <c r="D125" i="4"/>
  <c r="D124" i="4"/>
  <c r="D105" i="4"/>
  <c r="D85" i="4"/>
  <c r="AO32" i="4"/>
  <c r="AN32" i="4"/>
  <c r="AU33" i="4" l="1"/>
  <c r="AT34" i="4"/>
  <c r="G29" i="3"/>
  <c r="F29" i="3"/>
  <c r="C29" i="3"/>
  <c r="B29" i="3"/>
  <c r="B123" i="4" l="1"/>
  <c r="C123" i="4"/>
  <c r="AK32" i="4" s="1"/>
  <c r="B104" i="4"/>
  <c r="AO31" i="4" s="1"/>
  <c r="C104" i="4"/>
  <c r="AN31" i="4" s="1"/>
  <c r="B84" i="4"/>
  <c r="AO30" i="4" s="1"/>
  <c r="C84" i="4"/>
  <c r="AN30" i="4" s="1"/>
  <c r="B63" i="4"/>
  <c r="C63" i="4"/>
  <c r="B64" i="4"/>
  <c r="C64" i="4"/>
  <c r="C62" i="4"/>
  <c r="B62" i="4"/>
  <c r="C28" i="3"/>
  <c r="C103" i="4" s="1"/>
  <c r="AK31" i="4" s="1"/>
  <c r="B28" i="3"/>
  <c r="C83" i="4" s="1"/>
  <c r="AK30" i="4" s="1"/>
  <c r="G28" i="3"/>
  <c r="B103" i="4" s="1"/>
  <c r="AL31" i="4" s="1"/>
  <c r="F28" i="3"/>
  <c r="B83" i="4" s="1"/>
  <c r="AL30" i="4" s="1"/>
  <c r="H27" i="3"/>
  <c r="B122" i="4" s="1"/>
  <c r="AI32" i="4" s="1"/>
  <c r="G27" i="3"/>
  <c r="B102" i="4" s="1"/>
  <c r="F27" i="3"/>
  <c r="B82" i="4" s="1"/>
  <c r="D27" i="3"/>
  <c r="C122" i="4" s="1"/>
  <c r="C27" i="3"/>
  <c r="C102" i="4" s="1"/>
  <c r="B27" i="3"/>
  <c r="C82" i="4" s="1"/>
  <c r="AN33" i="4" l="1"/>
  <c r="D123" i="4"/>
  <c r="AO33" i="4"/>
  <c r="D103" i="4"/>
  <c r="AK33" i="4"/>
  <c r="AL32" i="4"/>
  <c r="AL33" i="4" s="1"/>
  <c r="AK34" i="4" s="1"/>
  <c r="D84" i="4"/>
  <c r="AR33" i="4" s="1"/>
  <c r="AQ34" i="4" s="1"/>
  <c r="D104" i="4"/>
  <c r="D64" i="4"/>
  <c r="D83" i="4"/>
  <c r="D63" i="4"/>
  <c r="D62" i="4"/>
  <c r="C26" i="3"/>
  <c r="B26" i="3"/>
  <c r="G26" i="3"/>
  <c r="F26" i="3"/>
  <c r="AN34" i="4" l="1"/>
  <c r="C25" i="3"/>
  <c r="B25" i="3"/>
  <c r="G25" i="3"/>
  <c r="F25" i="3"/>
  <c r="B120" i="4" l="1"/>
  <c r="C120" i="4"/>
  <c r="B121" i="4"/>
  <c r="C121" i="4"/>
  <c r="B100" i="4"/>
  <c r="C100" i="4"/>
  <c r="B101" i="4"/>
  <c r="C101" i="4"/>
  <c r="B80" i="4"/>
  <c r="C80" i="4"/>
  <c r="B81" i="4"/>
  <c r="C81" i="4"/>
  <c r="B60" i="4"/>
  <c r="C60" i="4"/>
  <c r="B61" i="4"/>
  <c r="C61" i="4"/>
  <c r="D121" i="4" l="1"/>
  <c r="D61" i="4"/>
  <c r="D120" i="4"/>
  <c r="D81" i="4"/>
  <c r="D80" i="4"/>
  <c r="D122" i="4"/>
  <c r="D60" i="4"/>
  <c r="D82" i="4"/>
  <c r="D102" i="4"/>
  <c r="D101" i="4"/>
  <c r="D100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14" i="4"/>
  <c r="C115" i="4"/>
  <c r="C117" i="4"/>
  <c r="C118" i="4"/>
  <c r="B114" i="4"/>
  <c r="B115" i="4"/>
  <c r="B117" i="4"/>
  <c r="B118" i="4"/>
  <c r="C58" i="4"/>
  <c r="C59" i="4"/>
  <c r="B58" i="4"/>
  <c r="B59" i="4"/>
  <c r="D114" i="4" l="1"/>
  <c r="AH34" i="4"/>
  <c r="D59" i="4"/>
  <c r="D117" i="4"/>
  <c r="AE34" i="4"/>
  <c r="AB34" i="4"/>
  <c r="D118" i="4"/>
  <c r="D115" i="4"/>
  <c r="D58" i="4"/>
  <c r="D24" i="3"/>
  <c r="C119" i="4" s="1"/>
  <c r="Y32" i="4" s="1"/>
  <c r="H24" i="3"/>
  <c r="B119" i="4" s="1"/>
  <c r="Z32" i="4" s="1"/>
  <c r="C24" i="3"/>
  <c r="C99" i="4" s="1"/>
  <c r="Y31" i="4" s="1"/>
  <c r="B24" i="3"/>
  <c r="C79" i="4" s="1"/>
  <c r="Y30" i="4" s="1"/>
  <c r="G24" i="3"/>
  <c r="B99" i="4" s="1"/>
  <c r="F24" i="3"/>
  <c r="B79" i="4" s="1"/>
  <c r="D79" i="4" l="1"/>
  <c r="Z30" i="4"/>
  <c r="D99" i="4"/>
  <c r="Z31" i="4"/>
  <c r="Y33" i="4"/>
  <c r="D119" i="4"/>
  <c r="G23" i="3"/>
  <c r="B98" i="4" s="1"/>
  <c r="F23" i="3"/>
  <c r="B78" i="4" s="1"/>
  <c r="C23" i="3"/>
  <c r="C98" i="4" s="1"/>
  <c r="B23" i="3"/>
  <c r="C78" i="4" s="1"/>
  <c r="Z33" i="4" l="1"/>
  <c r="Y34" i="4" s="1"/>
  <c r="D98" i="4"/>
  <c r="M11" i="5"/>
  <c r="M19" i="5"/>
  <c r="M23" i="5"/>
  <c r="M15" i="5"/>
  <c r="G22" i="3" l="1"/>
  <c r="F22" i="3"/>
  <c r="H21" i="3" l="1"/>
  <c r="B116" i="4" s="1"/>
  <c r="G21" i="3"/>
  <c r="F21" i="3"/>
  <c r="F20" i="3" l="1"/>
  <c r="G20" i="3"/>
  <c r="C18" i="3" l="1"/>
  <c r="D18" i="3"/>
  <c r="C113" i="4" s="1"/>
  <c r="C21" i="3"/>
  <c r="D21" i="3"/>
  <c r="C116" i="4" s="1"/>
  <c r="D116" i="4" s="1"/>
  <c r="G19" i="3"/>
  <c r="H18" i="3"/>
  <c r="B113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37" i="3" l="1"/>
  <c r="B13" i="3"/>
  <c r="A50" i="4"/>
  <c r="C112" i="4"/>
  <c r="B112" i="4"/>
  <c r="B53" i="4"/>
  <c r="C53" i="4"/>
  <c r="B54" i="4"/>
  <c r="C54" i="4"/>
  <c r="B55" i="4"/>
  <c r="C55" i="4"/>
  <c r="B56" i="4"/>
  <c r="C56" i="4"/>
  <c r="B57" i="4"/>
  <c r="C57" i="4"/>
  <c r="C52" i="4"/>
  <c r="B52" i="4"/>
  <c r="B73" i="4"/>
  <c r="C73" i="4"/>
  <c r="B74" i="4"/>
  <c r="C74" i="4"/>
  <c r="B75" i="4"/>
  <c r="C75" i="4"/>
  <c r="B76" i="4"/>
  <c r="C76" i="4"/>
  <c r="B77" i="4"/>
  <c r="C77" i="4"/>
  <c r="C72" i="4"/>
  <c r="B72" i="4"/>
  <c r="C93" i="4"/>
  <c r="C94" i="4"/>
  <c r="C95" i="4"/>
  <c r="C96" i="4"/>
  <c r="C97" i="4"/>
  <c r="C92" i="4"/>
  <c r="B93" i="4"/>
  <c r="B94" i="4"/>
  <c r="B95" i="4"/>
  <c r="B96" i="4"/>
  <c r="B97" i="4"/>
  <c r="B92" i="4"/>
  <c r="A5" i="3"/>
  <c r="B33" i="4" l="1"/>
  <c r="A110" i="4" l="1"/>
  <c r="B32" i="4" s="1"/>
  <c r="A90" i="4"/>
  <c r="B31" i="4" s="1"/>
  <c r="A70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76" i="4"/>
  <c r="D92" i="4"/>
  <c r="D113" i="4"/>
  <c r="D112" i="4"/>
  <c r="D95" i="4"/>
  <c r="D72" i="4"/>
  <c r="D94" i="4"/>
  <c r="D97" i="4"/>
  <c r="D93" i="4"/>
  <c r="D96" i="4"/>
  <c r="D75" i="4"/>
  <c r="D78" i="4"/>
  <c r="D74" i="4"/>
  <c r="D77" i="4"/>
  <c r="D73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<sst xmlns="http://schemas.openxmlformats.org/spreadsheetml/2006/main" count="133" uniqueCount="57">
  <si>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</si>
  <si>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</si>
  <si>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</si>
  <si>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</si>
  <si>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</si>
  <si>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</si>
  <si>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</si>
  <si>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</si>
  <si>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</si>
  <si>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</si>
  <si>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</si>
  <si>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</si>
  <si>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</si>
  <si>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</si>
  <si>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</si>
  <si>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</si>
  <si>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</si>
  <si>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</si>
  <si>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</si>
  <si>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</si>
  <si>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</si>
  <si>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</si>
  <si>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</si>
  <si>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</si>
  <si>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</si>
  <si>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</si>
  <si>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</si>
  <si>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</si>
  <si>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</si>
  <si>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</si>
  <si>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</si>
  <si>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</si>
  <si>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</si>
  <si>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</si>
  <si>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</si>
  <si>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</si>
  <si>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</si>
  <si>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</si>
  <si>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</si>
  <si>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</si>
  <si>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</si>
  <si>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</si>
  <si>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</si>
  <si>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</si>
  <si>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</si>
  <si>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Prior Year (2020)</t>
  </si>
  <si>
    <t>Current Year (2021)</t>
  </si>
  <si>
    <r>
      <t xml:space="preserve">COVID-19 Impact Model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</si>
  <si>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Percent Change</t>
  </si>
  <si>
    <t>Current Year 20-12</t>
  </si>
  <si>
    <t xml:space="preserve">Prior Year 19-20 </t>
  </si>
  <si>
    <t>2020</t>
  </si>
  <si>
    <t>2021</t>
  </si>
  <si>
    <t>May</t>
  </si>
  <si>
    <t>Jun</t>
  </si>
  <si>
    <t>MAY</t>
  </si>
  <si>
    <t>Current Year 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</si>
</sst>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9" fontId="2" fillId="4" borderId="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Summary!$A$52:$A$67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Summary!$C$52:$C$67</c:f>
              <c:numCache>
                <c:formatCode>_(* #,##0.00_);_(* \(#,##0.00\);_(* "-"??_);_(@_)</c:formatCode>
                <c:ptCount val="16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Summary!$A$52:$A$67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Summary!$B$52:$B$67</c:f>
              <c:numCache>
                <c:formatCode>_(* #,##0.00_);_(* \(#,##0.00\);_(* "-"??_);_(@_)</c:formatCode>
                <c:ptCount val="16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Input'!$H$39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Summary!$A$52:$A$67</c15:sqref>
                        </c15:formulaRef>
                      </c:ext>
                    </c:extLst>
                    <c:strCache>
                      <c:ptCount val="16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Input'!$H$40:$H$57</c15:sqref>
                        </c15:formulaRef>
                      </c:ext>
                    </c:extLst>
                    <c:numCache>
                      <c:formatCode>0%</c:formatCode>
                      <c:ptCount val="18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Summary!$A$70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Summary!$A$72:$A$87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Summary!$C$72:$C$87</c:f>
              <c:numCache>
                <c:formatCode>_(* #,##0_);_(* \(#,##0\);_(* "-"??_);_(@_)</c:formatCode>
                <c:ptCount val="16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Summary!$A$72:$A$87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Summary!$B$72:$B$87</c:f>
              <c:numCache>
                <c:formatCode>_(* #,##0_);_(* \(#,##0\);_(* "-"??_);_(@_)</c:formatCode>
                <c:ptCount val="16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Summary!$A$92:$A$107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Summary!$C$92:$C$107</c:f>
              <c:numCache>
                <c:formatCode>_(* #,##0_);_(* \(#,##0\);_(* "-"??_);_(@_)</c:formatCode>
                <c:ptCount val="16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Summary!$A$92:$A$107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Summary!$B$92:$B$107</c:f>
              <c:numCache>
                <c:formatCode>_(* #,##0_);_(* \(#,##0\);_(* "-"??_);_(@_)</c:formatCode>
                <c:ptCount val="16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Summary!$A$110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Summary!$A$112:$A$127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Summary!$C$112:$C$127</c:f>
              <c:numCache>
                <c:formatCode>_(* #,##0_);_(* \(#,##0\);_(* "-"??_);_(@_)</c:formatCode>
                <c:ptCount val="16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Summary!$A$112:$A$127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Summary!$B$112:$B$127</c:f>
              <c:numCache>
                <c:formatCode>_(* #,##0_);_(* \(#,##0\);_(* "-"??_);_(@_)</c:formatCode>
                <c:ptCount val="16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1329697</xdr:rowOff>
    </xdr:from>
    <xdr:to>
      <xdr:col>50</xdr:col>
      <xdr:colOff>6349</xdr:colOff>
      <xdr:row>15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-1</xdr:colOff>
      <xdr:row>16</xdr:row>
      <xdr:rowOff>1700</xdr:rowOff>
    </xdr:from>
    <xdr:to>
      <xdr:col>16</xdr:col>
      <xdr:colOff>203200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16</xdr:col>
      <xdr:colOff>177800</xdr:colOff>
      <xdr:row>15</xdr:row>
      <xdr:rowOff>116740</xdr:rowOff>
    </xdr:from>
    <xdr:to>
      <xdr:col>33</xdr:col>
      <xdr:colOff>425450</xdr:colOff>
      <xdr:row>27</xdr:row>
      <xdr:rowOff>12700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33</xdr:col>
      <xdr:colOff>412750</xdr:colOff>
      <xdr:row>15</xdr:row>
      <xdr:rowOff>159496</xdr:rowOff>
    </xdr:from>
    <xdr:to>
      <xdr:col>50</xdr:col>
      <xdr:colOff>6349</xdr:colOff>
      <xdr:row>27</xdr:row>
      <xdr:rowOff>31749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G128"/>
  <sheetViews>
    <sheetView view="pageBreakPreview" topLeftCell="A7" zoomScale="75" zoomScaleNormal="90" zoomScaleSheetLayoutView="75" workbookViewId="0">
      <selection activeCell="AH42" sqref="AH42"/>
    </sheetView>
  </sheetViews>
  <sheetFormatPr defaultRowHeight="14.25" x14ac:dyDescent="0.45"/>
  <cols>
    <col min="1" max="1" width="12.86328125" customWidth="1"/>
    <col min="2" max="2" width="17.73046875" bestFit="1" customWidth="1"/>
    <col min="3" max="3" width="12.73046875" customWidth="1"/>
    <col min="4" max="4" width="9.59765625" customWidth="1"/>
    <col min="5" max="5" width="9.59765625" style="9" customWidth="1"/>
    <col min="6" max="6" width="1" style="9" customWidth="1"/>
    <col min="7" max="7" width="9.59765625" customWidth="1"/>
    <col min="8" max="8" width="9.59765625" style="9" customWidth="1"/>
    <col min="9" max="9" width="1" style="9" customWidth="1"/>
    <col min="10" max="10" width="9.59765625" customWidth="1"/>
    <col min="11" max="11" width="9.59765625" style="9" customWidth="1"/>
    <col min="12" max="12" width="1" style="9" customWidth="1"/>
    <col min="13" max="13" width="9.59765625" customWidth="1"/>
    <col min="14" max="14" width="9.59765625" style="9" customWidth="1"/>
    <col min="15" max="15" width="1" style="9" customWidth="1"/>
    <col min="16" max="16" width="9.59765625" customWidth="1"/>
    <col min="17" max="17" width="9.59765625" style="9" customWidth="1"/>
    <col min="18" max="18" width="1" style="9" customWidth="1"/>
    <col min="19" max="19" width="9.59765625" customWidth="1"/>
    <col min="20" max="20" width="9.59765625" style="9" customWidth="1"/>
    <col min="21" max="21" width="1" style="9" customWidth="1"/>
    <col min="22" max="23" width="9.59765625" customWidth="1"/>
    <col min="24" max="24" width="1" style="58" customWidth="1"/>
    <col min="25" max="26" width="9.73046875" bestFit="1" customWidth="1"/>
    <col min="27" max="27" width="1" style="58" customWidth="1"/>
    <col min="28" max="29" width="9.73046875" bestFit="1" customWidth="1"/>
    <col min="30" max="30" width="1" style="58" customWidth="1"/>
    <col min="31" max="32" width="9.73046875" bestFit="1" customWidth="1"/>
    <col min="33" max="33" width="1" style="58" customWidth="1"/>
    <col min="36" max="36" width="1" style="58" customWidth="1"/>
    <col min="39" max="39" width="1" style="58" customWidth="1"/>
    <col min="41" max="41" width="9.1328125" customWidth="1"/>
    <col min="42" max="42" width="0.86328125" style="58" customWidth="1"/>
    <col min="45" max="45" width="1" style="58" customWidth="1"/>
    <col min="48" max="48" width="1" customWidth="1"/>
  </cols>
  <sheetData>
    <row r="1" spans="1:59" ht="112.5" customHeight="1" x14ac:dyDescent="2.2000000000000002">
      <c r="A1" s="46"/>
      <c r="B1" s="66" t="s">
        <v>47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10"/>
      <c r="AZ1" s="10"/>
      <c r="BA1" s="10"/>
      <c r="BB1" s="10"/>
      <c r="BC1" s="10"/>
      <c r="BD1" s="10"/>
      <c r="BE1" s="10"/>
      <c r="BF1" s="10"/>
      <c r="BG1" s="10"/>
    </row>
    <row r="2" spans="1:59" s="9" customFormat="1" ht="23.25" x14ac:dyDescent="0.45">
      <c r="A2" s="29"/>
      <c r="B2" s="70" t="s">
        <v>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59"/>
      <c r="AK2" s="28"/>
      <c r="AL2" s="28"/>
      <c r="AM2" s="11"/>
      <c r="AN2" s="28"/>
      <c r="AO2" s="28"/>
      <c r="AP2" s="11"/>
      <c r="AQ2" s="28"/>
      <c r="AR2" s="28"/>
      <c r="AS2" s="11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</row>
    <row r="3" spans="1:59" s="9" customFormat="1" x14ac:dyDescent="0.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11"/>
      <c r="Y3" s="28"/>
      <c r="Z3" s="28"/>
      <c r="AA3" s="11"/>
      <c r="AB3" s="28"/>
      <c r="AC3" s="28"/>
      <c r="AD3" s="11"/>
      <c r="AE3" s="28"/>
      <c r="AF3" s="28"/>
      <c r="AG3" s="11"/>
      <c r="AH3" s="28"/>
      <c r="AI3" s="28"/>
      <c r="AJ3" s="11"/>
      <c r="AK3" s="28"/>
      <c r="AL3" s="28"/>
      <c r="AM3" s="11"/>
      <c r="AN3" s="28"/>
      <c r="AO3" s="28"/>
      <c r="AP3" s="11"/>
      <c r="AQ3" s="28"/>
      <c r="AR3" s="28"/>
      <c r="AS3" s="11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s="9" customForma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11"/>
      <c r="Y4" s="28"/>
      <c r="Z4" s="28"/>
      <c r="AA4" s="11"/>
      <c r="AB4" s="28"/>
      <c r="AC4" s="28"/>
      <c r="AD4" s="11"/>
      <c r="AE4" s="28"/>
      <c r="AF4" s="28"/>
      <c r="AG4" s="11"/>
      <c r="AH4" s="28"/>
      <c r="AI4" s="28"/>
      <c r="AJ4" s="11"/>
      <c r="AK4" s="28"/>
      <c r="AL4" s="28"/>
      <c r="AM4" s="11"/>
      <c r="AN4" s="28"/>
      <c r="AO4" s="28"/>
      <c r="AP4" s="11"/>
      <c r="AQ4" s="28"/>
      <c r="AR4" s="28"/>
      <c r="AS4" s="11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x14ac:dyDescent="0.4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"/>
      <c r="Y5" s="28"/>
      <c r="Z5" s="28"/>
      <c r="AA5" s="11"/>
      <c r="AB5" s="28"/>
      <c r="AC5" s="28"/>
      <c r="AD5" s="11"/>
      <c r="AE5" s="28"/>
      <c r="AF5" s="28"/>
      <c r="AG5" s="11"/>
      <c r="AH5" s="28"/>
      <c r="AI5" s="28"/>
      <c r="AJ5" s="11"/>
      <c r="AK5" s="28"/>
      <c r="AL5" s="28"/>
      <c r="AM5" s="11"/>
      <c r="AN5" s="28"/>
      <c r="AO5" s="28"/>
      <c r="AP5" s="11"/>
      <c r="AQ5" s="28"/>
      <c r="AR5" s="28"/>
      <c r="AS5" s="11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x14ac:dyDescent="0.4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1"/>
      <c r="Y6" s="28"/>
      <c r="Z6" s="28"/>
      <c r="AA6" s="11"/>
      <c r="AB6" s="28"/>
      <c r="AC6" s="28"/>
      <c r="AD6" s="11"/>
      <c r="AE6" s="28"/>
      <c r="AF6" s="28"/>
      <c r="AG6" s="11"/>
      <c r="AH6" s="28"/>
      <c r="AI6" s="28"/>
      <c r="AJ6" s="11"/>
      <c r="AK6" s="28"/>
      <c r="AL6" s="28"/>
      <c r="AM6" s="11"/>
      <c r="AN6" s="28"/>
      <c r="AO6" s="28"/>
      <c r="AP6" s="11"/>
      <c r="AQ6" s="28"/>
      <c r="AR6" s="28"/>
      <c r="AS6" s="11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x14ac:dyDescent="0.4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1"/>
      <c r="Y7" s="28"/>
      <c r="Z7" s="28"/>
      <c r="AA7" s="11"/>
      <c r="AB7" s="28"/>
      <c r="AC7" s="28"/>
      <c r="AD7" s="11"/>
      <c r="AE7" s="28"/>
      <c r="AF7" s="28"/>
      <c r="AG7" s="11"/>
      <c r="AH7" s="28"/>
      <c r="AI7" s="28"/>
      <c r="AJ7" s="11"/>
      <c r="AK7" s="28"/>
      <c r="AL7" s="28"/>
      <c r="AM7" s="11"/>
      <c r="AN7" s="28"/>
      <c r="AO7" s="28"/>
      <c r="AP7" s="11"/>
      <c r="AQ7" s="28"/>
      <c r="AR7" s="28"/>
      <c r="AS7" s="11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x14ac:dyDescent="0.4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1"/>
      <c r="Y8" s="28"/>
      <c r="Z8" s="28"/>
      <c r="AA8" s="11"/>
      <c r="AB8" s="28"/>
      <c r="AC8" s="28"/>
      <c r="AD8" s="11"/>
      <c r="AE8" s="28"/>
      <c r="AF8" s="28"/>
      <c r="AG8" s="11"/>
      <c r="AH8" s="28"/>
      <c r="AI8" s="28"/>
      <c r="AJ8" s="11"/>
      <c r="AK8" s="28"/>
      <c r="AL8" s="28"/>
      <c r="AM8" s="11"/>
      <c r="AN8" s="28"/>
      <c r="AO8" s="28"/>
      <c r="AP8" s="11"/>
      <c r="AQ8" s="28"/>
      <c r="AR8" s="28"/>
      <c r="AS8" s="11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x14ac:dyDescent="0.4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1"/>
      <c r="Y9" s="28"/>
      <c r="Z9" s="28"/>
      <c r="AA9" s="11"/>
      <c r="AB9" s="28"/>
      <c r="AC9" s="28"/>
      <c r="AD9" s="11"/>
      <c r="AE9" s="28"/>
      <c r="AF9" s="28"/>
      <c r="AG9" s="11"/>
      <c r="AH9" s="28"/>
      <c r="AI9" s="28"/>
      <c r="AJ9" s="11"/>
      <c r="AK9" s="28"/>
      <c r="AL9" s="28"/>
      <c r="AM9" s="11"/>
      <c r="AN9" s="28"/>
      <c r="AO9" s="28"/>
      <c r="AP9" s="11"/>
      <c r="AQ9" s="28"/>
      <c r="AR9" s="28"/>
      <c r="AS9" s="11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4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1"/>
      <c r="Y10" s="28"/>
      <c r="Z10" s="28"/>
      <c r="AA10" s="11"/>
      <c r="AB10" s="28"/>
      <c r="AC10" s="28"/>
      <c r="AD10" s="11"/>
      <c r="AE10" s="28"/>
      <c r="AF10" s="28"/>
      <c r="AG10" s="11"/>
      <c r="AH10" s="28"/>
      <c r="AI10" s="28"/>
      <c r="AJ10" s="11"/>
      <c r="AK10" s="28"/>
      <c r="AL10" s="28"/>
      <c r="AM10" s="11"/>
      <c r="AN10" s="28"/>
      <c r="AO10" s="28"/>
      <c r="AP10" s="11"/>
      <c r="AQ10" s="28"/>
      <c r="AR10" s="28"/>
      <c r="AS10" s="11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4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1"/>
      <c r="Y11" s="28"/>
      <c r="Z11" s="28"/>
      <c r="AA11" s="11"/>
      <c r="AB11" s="28"/>
      <c r="AC11" s="28"/>
      <c r="AD11" s="11"/>
      <c r="AE11" s="28"/>
      <c r="AF11" s="28"/>
      <c r="AG11" s="11"/>
      <c r="AH11" s="28"/>
      <c r="AI11" s="28"/>
      <c r="AJ11" s="11"/>
      <c r="AK11" s="28"/>
      <c r="AL11" s="28"/>
      <c r="AM11" s="11"/>
      <c r="AN11" s="28"/>
      <c r="AO11" s="28"/>
      <c r="AP11" s="11"/>
      <c r="AQ11" s="28"/>
      <c r="AR11" s="28"/>
      <c r="AS11" s="11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4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1"/>
      <c r="Y12" s="28"/>
      <c r="Z12" s="28"/>
      <c r="AA12" s="11"/>
      <c r="AB12" s="28"/>
      <c r="AC12" s="28"/>
      <c r="AD12" s="11"/>
      <c r="AE12" s="28"/>
      <c r="AF12" s="28"/>
      <c r="AG12" s="11"/>
      <c r="AH12" s="28"/>
      <c r="AI12" s="28"/>
      <c r="AJ12" s="11"/>
      <c r="AK12" s="28"/>
      <c r="AL12" s="28"/>
      <c r="AM12" s="11"/>
      <c r="AN12" s="28"/>
      <c r="AO12" s="28"/>
      <c r="AP12" s="11"/>
      <c r="AQ12" s="28"/>
      <c r="AR12" s="28"/>
      <c r="AS12" s="11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4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"/>
      <c r="Y13" s="28"/>
      <c r="Z13" s="28"/>
      <c r="AA13" s="11"/>
      <c r="AB13" s="28"/>
      <c r="AC13" s="28"/>
      <c r="AD13" s="11"/>
      <c r="AE13" s="28"/>
      <c r="AF13" s="28"/>
      <c r="AG13" s="11"/>
      <c r="AH13" s="28"/>
      <c r="AI13" s="28"/>
      <c r="AJ13" s="11"/>
      <c r="AK13" s="28"/>
      <c r="AL13" s="28"/>
      <c r="AM13" s="11"/>
      <c r="AN13" s="28"/>
      <c r="AO13" s="28"/>
      <c r="AP13" s="11"/>
      <c r="AQ13" s="28"/>
      <c r="AR13" s="28"/>
      <c r="AS13" s="11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4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1"/>
      <c r="Y14" s="28"/>
      <c r="Z14" s="28"/>
      <c r="AA14" s="11"/>
      <c r="AB14" s="28"/>
      <c r="AC14" s="28"/>
      <c r="AD14" s="11"/>
      <c r="AE14" s="28"/>
      <c r="AF14" s="28"/>
      <c r="AG14" s="11"/>
      <c r="AH14" s="28"/>
      <c r="AI14" s="28"/>
      <c r="AJ14" s="11"/>
      <c r="AK14" s="28"/>
      <c r="AL14" s="28"/>
      <c r="AM14" s="11"/>
      <c r="AN14" s="28"/>
      <c r="AO14" s="28"/>
      <c r="AP14" s="11"/>
      <c r="AQ14" s="28"/>
      <c r="AR14" s="28"/>
      <c r="AS14" s="11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4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1"/>
      <c r="Y15" s="28"/>
      <c r="Z15" s="28"/>
      <c r="AA15" s="11"/>
      <c r="AB15" s="28"/>
      <c r="AC15" s="28"/>
      <c r="AD15" s="11"/>
      <c r="AE15" s="28"/>
      <c r="AF15" s="28"/>
      <c r="AG15" s="11"/>
      <c r="AH15" s="28"/>
      <c r="AI15" s="28"/>
      <c r="AJ15" s="11"/>
      <c r="AK15" s="28"/>
      <c r="AL15" s="28"/>
      <c r="AM15" s="11"/>
      <c r="AN15" s="28"/>
      <c r="AO15" s="28"/>
      <c r="AP15" s="11"/>
      <c r="AQ15" s="28"/>
      <c r="AR15" s="28"/>
      <c r="AS15" s="11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4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1"/>
      <c r="Y16" s="28"/>
      <c r="Z16" s="28"/>
      <c r="AA16" s="11"/>
      <c r="AB16" s="28"/>
      <c r="AC16" s="28"/>
      <c r="AD16" s="11"/>
      <c r="AE16" s="28"/>
      <c r="AF16" s="28"/>
      <c r="AG16" s="11"/>
      <c r="AH16" s="28"/>
      <c r="AI16" s="28"/>
      <c r="AJ16" s="11"/>
      <c r="AK16" s="28"/>
      <c r="AL16" s="28"/>
      <c r="AM16" s="11"/>
      <c r="AN16" s="28"/>
      <c r="AO16" s="28"/>
      <c r="AP16" s="11"/>
      <c r="AQ16" s="28"/>
      <c r="AR16" s="28"/>
      <c r="AS16" s="11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4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1"/>
      <c r="Y17" s="28"/>
      <c r="Z17" s="28"/>
      <c r="AA17" s="11"/>
      <c r="AB17" s="28"/>
      <c r="AC17" s="28"/>
      <c r="AD17" s="11"/>
      <c r="AE17" s="28"/>
      <c r="AF17" s="28"/>
      <c r="AG17" s="11"/>
      <c r="AH17" s="28"/>
      <c r="AI17" s="28"/>
      <c r="AJ17" s="11"/>
      <c r="AK17" s="28"/>
      <c r="AL17" s="28"/>
      <c r="AM17" s="11"/>
      <c r="AN17" s="28"/>
      <c r="AO17" s="28"/>
      <c r="AP17" s="11"/>
      <c r="AQ17" s="28"/>
      <c r="AR17" s="28"/>
      <c r="AS17" s="11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4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1"/>
      <c r="Y18" s="28"/>
      <c r="Z18" s="28"/>
      <c r="AA18" s="11"/>
      <c r="AB18" s="28"/>
      <c r="AC18" s="28"/>
      <c r="AD18" s="11"/>
      <c r="AE18" s="28"/>
      <c r="AF18" s="28"/>
      <c r="AG18" s="11"/>
      <c r="AH18" s="28"/>
      <c r="AI18" s="28"/>
      <c r="AJ18" s="11"/>
      <c r="AK18" s="28"/>
      <c r="AL18" s="28"/>
      <c r="AM18" s="11"/>
      <c r="AN18" s="28"/>
      <c r="AO18" s="28"/>
      <c r="AP18" s="11"/>
      <c r="AQ18" s="28"/>
      <c r="AR18" s="28"/>
      <c r="AS18" s="11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4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1"/>
      <c r="Y19" s="28"/>
      <c r="Z19" s="28"/>
      <c r="AA19" s="11"/>
      <c r="AB19" s="28"/>
      <c r="AC19" s="28"/>
      <c r="AD19" s="11"/>
      <c r="AE19" s="28"/>
      <c r="AF19" s="28"/>
      <c r="AG19" s="11"/>
      <c r="AH19" s="28"/>
      <c r="AI19" s="28"/>
      <c r="AJ19" s="11"/>
      <c r="AK19" s="28"/>
      <c r="AL19" s="28"/>
      <c r="AM19" s="11"/>
      <c r="AN19" s="28"/>
      <c r="AO19" s="28"/>
      <c r="AP19" s="11"/>
      <c r="AQ19" s="28"/>
      <c r="AR19" s="28"/>
      <c r="AS19" s="11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4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1"/>
      <c r="Y20" s="28"/>
      <c r="Z20" s="28"/>
      <c r="AA20" s="11"/>
      <c r="AB20" s="28"/>
      <c r="AC20" s="28"/>
      <c r="AD20" s="11"/>
      <c r="AE20" s="28"/>
      <c r="AF20" s="28"/>
      <c r="AG20" s="11"/>
      <c r="AH20" s="28"/>
      <c r="AI20" s="28"/>
      <c r="AJ20" s="11"/>
      <c r="AK20" s="28"/>
      <c r="AL20" s="28"/>
      <c r="AM20" s="11"/>
      <c r="AN20" s="28"/>
      <c r="AO20" s="28"/>
      <c r="AP20" s="11"/>
      <c r="AQ20" s="28"/>
      <c r="AR20" s="28"/>
      <c r="AS20" s="11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</row>
    <row r="21" spans="1:59" x14ac:dyDescent="0.4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1"/>
      <c r="Y21" s="28"/>
      <c r="Z21" s="28"/>
      <c r="AA21" s="11"/>
      <c r="AB21" s="28"/>
      <c r="AC21" s="28"/>
      <c r="AD21" s="11"/>
      <c r="AE21" s="28"/>
      <c r="AF21" s="28"/>
      <c r="AG21" s="11"/>
      <c r="AH21" s="28"/>
      <c r="AI21" s="28"/>
      <c r="AJ21" s="11"/>
      <c r="AK21" s="28"/>
      <c r="AL21" s="28"/>
      <c r="AM21" s="11"/>
      <c r="AN21" s="28"/>
      <c r="AO21" s="28"/>
      <c r="AP21" s="11"/>
      <c r="AQ21" s="28"/>
      <c r="AR21" s="28"/>
      <c r="AS21" s="11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</row>
    <row r="22" spans="1:59" x14ac:dyDescent="0.4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1"/>
      <c r="Y22" s="28"/>
      <c r="Z22" s="28"/>
      <c r="AA22" s="11"/>
      <c r="AB22" s="28"/>
      <c r="AC22" s="28"/>
      <c r="AD22" s="11"/>
      <c r="AE22" s="28"/>
      <c r="AF22" s="28"/>
      <c r="AG22" s="11"/>
      <c r="AH22" s="28"/>
      <c r="AI22" s="28"/>
      <c r="AJ22" s="11"/>
      <c r="AK22" s="28"/>
      <c r="AL22" s="28"/>
      <c r="AM22" s="11"/>
      <c r="AN22" s="28"/>
      <c r="AO22" s="28"/>
      <c r="AP22" s="11"/>
      <c r="AQ22" s="28"/>
      <c r="AR22" s="28"/>
      <c r="AS22" s="11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</row>
    <row r="23" spans="1:59" x14ac:dyDescent="0.4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"/>
      <c r="Y23" s="28"/>
      <c r="Z23" s="28"/>
      <c r="AA23" s="11"/>
      <c r="AB23" s="28"/>
      <c r="AC23" s="28"/>
      <c r="AD23" s="11"/>
      <c r="AE23" s="28"/>
      <c r="AF23" s="28"/>
      <c r="AG23" s="11"/>
      <c r="AH23" s="28"/>
      <c r="AI23" s="28"/>
      <c r="AJ23" s="11"/>
      <c r="AK23" s="28"/>
      <c r="AL23" s="28"/>
      <c r="AM23" s="11"/>
      <c r="AN23" s="28"/>
      <c r="AO23" s="28"/>
      <c r="AP23" s="11"/>
      <c r="AQ23" s="28"/>
      <c r="AR23" s="28"/>
      <c r="AS23" s="11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</row>
    <row r="24" spans="1:59" x14ac:dyDescent="0.4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1"/>
      <c r="Y24" s="28"/>
      <c r="Z24" s="28"/>
      <c r="AA24" s="11"/>
      <c r="AB24" s="28"/>
      <c r="AC24" s="28"/>
      <c r="AD24" s="11"/>
      <c r="AE24" s="28"/>
      <c r="AF24" s="28"/>
      <c r="AG24" s="11"/>
      <c r="AH24" s="28"/>
      <c r="AI24" s="28"/>
      <c r="AJ24" s="11"/>
      <c r="AK24" s="28"/>
      <c r="AL24" s="28"/>
      <c r="AM24" s="11"/>
      <c r="AN24" s="28"/>
      <c r="AO24" s="28"/>
      <c r="AP24" s="11"/>
      <c r="AQ24" s="28"/>
      <c r="AR24" s="28"/>
      <c r="AS24" s="11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</row>
    <row r="25" spans="1:59" x14ac:dyDescent="0.4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1"/>
      <c r="Y25" s="28"/>
      <c r="Z25" s="28"/>
      <c r="AA25" s="11"/>
      <c r="AB25" s="28"/>
      <c r="AC25" s="28"/>
      <c r="AD25" s="11"/>
      <c r="AE25" s="28"/>
      <c r="AF25" s="28"/>
      <c r="AG25" s="11"/>
      <c r="AH25" s="28"/>
      <c r="AI25" s="28"/>
      <c r="AJ25" s="11"/>
      <c r="AK25" s="28"/>
      <c r="AL25" s="28"/>
      <c r="AM25" s="11"/>
      <c r="AN25" s="28"/>
      <c r="AO25" s="28"/>
      <c r="AP25" s="11"/>
      <c r="AQ25" s="28"/>
      <c r="AR25" s="28"/>
      <c r="AS25" s="11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</row>
    <row r="26" spans="1:59" x14ac:dyDescent="0.4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1"/>
      <c r="Y26" s="28"/>
      <c r="Z26" s="28"/>
      <c r="AA26" s="11"/>
      <c r="AB26" s="28"/>
      <c r="AC26" s="28"/>
      <c r="AD26" s="11"/>
      <c r="AE26" s="28"/>
      <c r="AF26" s="28"/>
      <c r="AG26" s="11"/>
      <c r="AH26" s="28"/>
      <c r="AI26" s="28"/>
      <c r="AJ26" s="11"/>
      <c r="AK26" s="28"/>
      <c r="AL26" s="28"/>
      <c r="AM26" s="11"/>
      <c r="AN26" s="28"/>
      <c r="AO26" s="28"/>
      <c r="AP26" s="11"/>
      <c r="AQ26" s="28"/>
      <c r="AR26" s="28"/>
      <c r="AS26" s="11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</row>
    <row r="27" spans="1:59" x14ac:dyDescent="0.4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1"/>
      <c r="Y27" s="28"/>
      <c r="Z27" s="28"/>
      <c r="AA27" s="11"/>
      <c r="AB27" s="28"/>
      <c r="AC27" s="28"/>
      <c r="AD27" s="11"/>
      <c r="AE27" s="28"/>
      <c r="AF27" s="28"/>
      <c r="AG27" s="11"/>
      <c r="AH27" s="28"/>
      <c r="AI27" s="28"/>
      <c r="AJ27" s="11"/>
      <c r="AK27" s="28"/>
      <c r="AL27" s="28"/>
      <c r="AM27" s="11"/>
      <c r="AN27" s="28"/>
      <c r="AO27" s="28"/>
      <c r="AP27" s="11"/>
      <c r="AQ27" s="28"/>
      <c r="AR27" s="28"/>
      <c r="AS27" s="11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</row>
    <row r="28" spans="1:59" x14ac:dyDescent="0.45">
      <c r="A28" s="28"/>
      <c r="B28" s="13" t="s">
        <v>11</v>
      </c>
      <c r="C28" s="11"/>
      <c r="D28" s="65">
        <v>43881</v>
      </c>
      <c r="E28" s="65"/>
      <c r="F28" s="48"/>
      <c r="G28" s="65">
        <v>43910</v>
      </c>
      <c r="H28" s="65"/>
      <c r="I28" s="55"/>
      <c r="J28" s="65">
        <v>43941</v>
      </c>
      <c r="K28" s="65"/>
      <c r="L28" s="55"/>
      <c r="M28" s="65">
        <v>43971</v>
      </c>
      <c r="N28" s="65"/>
      <c r="O28" s="55"/>
      <c r="P28" s="65">
        <v>44002</v>
      </c>
      <c r="Q28" s="65"/>
      <c r="R28" s="55"/>
      <c r="S28" s="65">
        <v>44032</v>
      </c>
      <c r="T28" s="65"/>
      <c r="U28" s="55"/>
      <c r="V28" s="65">
        <v>44063</v>
      </c>
      <c r="W28" s="65"/>
      <c r="X28" s="56"/>
      <c r="Y28" s="65">
        <v>44094</v>
      </c>
      <c r="Z28" s="65"/>
      <c r="AA28" s="56"/>
      <c r="AB28" s="65">
        <v>44124</v>
      </c>
      <c r="AC28" s="65"/>
      <c r="AD28" s="56"/>
      <c r="AE28" s="65">
        <v>44155</v>
      </c>
      <c r="AF28" s="65"/>
      <c r="AG28" s="56"/>
      <c r="AH28" s="65">
        <v>44185</v>
      </c>
      <c r="AI28" s="65"/>
      <c r="AJ28" s="56"/>
      <c r="AK28" s="65">
        <v>44216</v>
      </c>
      <c r="AL28" s="65"/>
      <c r="AM28" s="57"/>
      <c r="AN28" s="65">
        <v>44248</v>
      </c>
      <c r="AO28" s="65"/>
      <c r="AP28" s="57"/>
      <c r="AQ28" s="65">
        <v>44276</v>
      </c>
      <c r="AR28" s="65"/>
      <c r="AS28" s="57"/>
      <c r="AT28" s="65">
        <v>44307</v>
      </c>
      <c r="AU28" s="65"/>
      <c r="AV28" s="11"/>
      <c r="AW28" s="65" t="s">
        <v>55</v>
      </c>
      <c r="AX28" s="65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s="9" customFormat="1" x14ac:dyDescent="0.45">
      <c r="A29" s="28"/>
      <c r="B29" s="13"/>
      <c r="C29" s="11"/>
      <c r="D29" s="54">
        <v>2019</v>
      </c>
      <c r="E29" s="54" t="s">
        <v>51</v>
      </c>
      <c r="F29" s="48"/>
      <c r="G29" s="54">
        <v>2019</v>
      </c>
      <c r="H29" s="54" t="s">
        <v>51</v>
      </c>
      <c r="I29" s="48"/>
      <c r="J29" s="54">
        <v>2019</v>
      </c>
      <c r="K29" s="54" t="s">
        <v>51</v>
      </c>
      <c r="L29" s="48"/>
      <c r="M29" s="54">
        <v>2019</v>
      </c>
      <c r="N29" s="54" t="s">
        <v>51</v>
      </c>
      <c r="O29" s="48"/>
      <c r="P29" s="54">
        <v>2019</v>
      </c>
      <c r="Q29" s="54" t="s">
        <v>51</v>
      </c>
      <c r="R29" s="48"/>
      <c r="S29" s="54">
        <v>2019</v>
      </c>
      <c r="T29" s="54" t="s">
        <v>51</v>
      </c>
      <c r="U29" s="48"/>
      <c r="V29" s="54">
        <v>2019</v>
      </c>
      <c r="W29" s="54" t="s">
        <v>51</v>
      </c>
      <c r="X29" s="11"/>
      <c r="Y29" s="54">
        <v>2019</v>
      </c>
      <c r="Z29" s="54" t="s">
        <v>51</v>
      </c>
      <c r="AA29" s="11"/>
      <c r="AB29" s="54">
        <v>2019</v>
      </c>
      <c r="AC29" s="54" t="s">
        <v>51</v>
      </c>
      <c r="AD29" s="11"/>
      <c r="AE29" s="54">
        <v>2019</v>
      </c>
      <c r="AF29" s="54" t="s">
        <v>51</v>
      </c>
      <c r="AG29" s="11"/>
      <c r="AH29" s="54">
        <v>2019</v>
      </c>
      <c r="AI29" s="54" t="s">
        <v>51</v>
      </c>
      <c r="AJ29" s="11"/>
      <c r="AK29" s="54" t="s">
        <v>51</v>
      </c>
      <c r="AL29" s="54" t="s">
        <v>52</v>
      </c>
      <c r="AM29" s="54"/>
      <c r="AN29" s="54" t="s">
        <v>51</v>
      </c>
      <c r="AO29" s="54" t="s">
        <v>52</v>
      </c>
      <c r="AP29" s="51"/>
      <c r="AQ29" s="54" t="s">
        <v>51</v>
      </c>
      <c r="AR29" s="54" t="s">
        <v>52</v>
      </c>
      <c r="AS29" s="51"/>
      <c r="AT29" s="54" t="s">
        <v>51</v>
      </c>
      <c r="AU29" s="54" t="s">
        <v>52</v>
      </c>
      <c r="AV29" s="11"/>
      <c r="AW29" s="54" t="s">
        <v>51</v>
      </c>
      <c r="AX29" s="54" t="s">
        <v>52</v>
      </c>
      <c r="AY29" s="10"/>
      <c r="AZ29" s="10"/>
      <c r="BA29" s="10"/>
      <c r="BB29" s="10"/>
      <c r="BC29" s="10"/>
      <c r="BD29" s="10"/>
      <c r="BE29" s="10"/>
      <c r="BF29" s="10"/>
      <c r="BG29" s="10"/>
    </row>
    <row r="30" spans="1:59" x14ac:dyDescent="0.45">
      <c r="A30" s="28"/>
      <c r="B30" s="12" t="str">
        <f>A70</f>
        <v>Residential Demand (Kgal)</v>
      </c>
      <c r="C30" s="11"/>
      <c r="D30" s="15">
        <f>C72</f>
        <v>111009.96192</v>
      </c>
      <c r="E30" s="14">
        <f>B72</f>
        <v>104204.22408000001</v>
      </c>
      <c r="G30" s="15">
        <f>C73</f>
        <v>123525.13140000001</v>
      </c>
      <c r="H30" s="14">
        <f>B73</f>
        <v>116687.49136</v>
      </c>
      <c r="J30" s="15">
        <f>C74</f>
        <v>113258.78652000001</v>
      </c>
      <c r="K30" s="14">
        <f>B74</f>
        <v>109598.96464000001</v>
      </c>
      <c r="M30" s="15">
        <f>C75</f>
        <v>107128.05136</v>
      </c>
      <c r="N30" s="14">
        <f>B75</f>
        <v>109656.01460000001</v>
      </c>
      <c r="O30" s="58"/>
      <c r="P30" s="15">
        <f>C76</f>
        <v>144930.45292000001</v>
      </c>
      <c r="Q30" s="14">
        <f>B76</f>
        <v>154696.23620000001</v>
      </c>
      <c r="R30" s="58"/>
      <c r="S30" s="15">
        <f>C77</f>
        <v>151028.01428</v>
      </c>
      <c r="T30" s="14">
        <f>B77</f>
        <v>159889.35336000001</v>
      </c>
      <c r="V30" s="15">
        <f>C78</f>
        <v>143816.33684</v>
      </c>
      <c r="W30" s="14">
        <f>B78</f>
        <v>160013.98512</v>
      </c>
      <c r="X30" s="11"/>
      <c r="Y30" s="15">
        <f>C79</f>
        <v>260607.45612000002</v>
      </c>
      <c r="Z30" s="14">
        <f>B79</f>
        <v>337995.64084000001</v>
      </c>
      <c r="AA30" s="11"/>
      <c r="AB30" s="15">
        <f>C80</f>
        <v>173601.36772000001</v>
      </c>
      <c r="AC30" s="14">
        <f>B80</f>
        <v>243049.08364000003</v>
      </c>
      <c r="AD30" s="11"/>
      <c r="AE30" s="15">
        <f>C81</f>
        <v>131198.83348</v>
      </c>
      <c r="AF30" s="14">
        <f>B81</f>
        <v>162175.56299999999</v>
      </c>
      <c r="AG30" s="11"/>
      <c r="AH30" s="15">
        <f>C82</f>
        <v>170629.38420000003</v>
      </c>
      <c r="AI30" s="14">
        <f>B82</f>
        <v>207737.90356000001</v>
      </c>
      <c r="AJ30" s="11"/>
      <c r="AK30" s="15">
        <f>C83</f>
        <v>117899.62536000001</v>
      </c>
      <c r="AL30" s="14">
        <f>B83</f>
        <v>124779.79668000001</v>
      </c>
      <c r="AM30" s="60"/>
      <c r="AN30" s="15">
        <f>C84</f>
        <v>104204.22408000001</v>
      </c>
      <c r="AO30" s="14">
        <f>B84</f>
        <v>124538.23756000001</v>
      </c>
      <c r="AP30" s="60"/>
      <c r="AQ30" s="15">
        <f>C85</f>
        <v>116687.49136</v>
      </c>
      <c r="AR30" s="14">
        <f>B85</f>
        <v>144510.13676000002</v>
      </c>
      <c r="AS30" s="60"/>
      <c r="AT30" s="15">
        <f>C86</f>
        <v>109598.96464000001</v>
      </c>
      <c r="AU30" s="14">
        <f>B86</f>
        <v>95313.825200000007</v>
      </c>
      <c r="AV30" s="60"/>
      <c r="AW30" s="15">
        <f>C87</f>
        <v>109656.01460000001</v>
      </c>
      <c r="AX30" s="14">
        <f>B87</f>
        <v>106271.913</v>
      </c>
      <c r="AY30" s="10"/>
      <c r="AZ30" s="10"/>
      <c r="BA30" s="10"/>
      <c r="BB30" s="10"/>
      <c r="BC30" s="10"/>
      <c r="BD30" s="10"/>
      <c r="BE30" s="10"/>
      <c r="BF30" s="10"/>
      <c r="BG30" s="10"/>
    </row>
    <row r="31" spans="1:59" x14ac:dyDescent="0.45">
      <c r="A31" s="28"/>
      <c r="B31" s="12" t="str">
        <f>A90</f>
        <v>Non-Residential Demand (Kgal)</v>
      </c>
      <c r="C31" s="11"/>
      <c r="D31" s="15">
        <f>C92</f>
        <v>24891.70464</v>
      </c>
      <c r="E31" s="14">
        <f>B92</f>
        <v>27184.287240000001</v>
      </c>
      <c r="G31" s="15">
        <f>C93</f>
        <v>42416.79552</v>
      </c>
      <c r="H31" s="14">
        <f>B93</f>
        <v>52556.783840000004</v>
      </c>
      <c r="J31" s="15">
        <f>C94</f>
        <v>33427.880640000003</v>
      </c>
      <c r="K31" s="14">
        <f>B94</f>
        <v>30008.585640000001</v>
      </c>
      <c r="M31" s="15">
        <f>C95</f>
        <v>26254.44844</v>
      </c>
      <c r="N31" s="14">
        <f>B95</f>
        <v>21459.484200000003</v>
      </c>
      <c r="O31" s="58"/>
      <c r="P31" s="15">
        <f>C96</f>
        <v>33248.873200000002</v>
      </c>
      <c r="Q31" s="14">
        <f>B96</f>
        <v>47687.401080000003</v>
      </c>
      <c r="R31" s="58"/>
      <c r="S31" s="15">
        <f>C97</f>
        <v>42679.937520000007</v>
      </c>
      <c r="T31" s="14">
        <f>B97</f>
        <v>33702.69584</v>
      </c>
      <c r="V31" s="15">
        <f>C98</f>
        <v>34036.498319999999</v>
      </c>
      <c r="W31" s="14">
        <f>B98</f>
        <v>30630.764560000003</v>
      </c>
      <c r="X31" s="11"/>
      <c r="Y31" s="15">
        <f>C99</f>
        <v>86367.775120000006</v>
      </c>
      <c r="Z31" s="14">
        <f>B99</f>
        <v>87939.966400000005</v>
      </c>
      <c r="AA31" s="11"/>
      <c r="AB31" s="15">
        <f>C100</f>
        <v>49561.754440000004</v>
      </c>
      <c r="AC31" s="14">
        <f>B100</f>
        <v>51017.646679999998</v>
      </c>
      <c r="AD31" s="11"/>
      <c r="AE31" s="15">
        <f>C101</f>
        <v>32261.419520000003</v>
      </c>
      <c r="AF31" s="14">
        <f>B101</f>
        <v>38090.246920000005</v>
      </c>
      <c r="AG31" s="11"/>
      <c r="AH31" s="15">
        <f>C102</f>
        <v>66164.871080000012</v>
      </c>
      <c r="AI31" s="14">
        <f>B102</f>
        <v>72201.814520000014</v>
      </c>
      <c r="AJ31" s="11"/>
      <c r="AK31" s="15">
        <f>C103</f>
        <v>38851.995160000006</v>
      </c>
      <c r="AL31" s="14">
        <f>B103</f>
        <v>32645.300600000002</v>
      </c>
      <c r="AM31" s="60"/>
      <c r="AN31" s="15">
        <f>C104</f>
        <v>27184.287240000001</v>
      </c>
      <c r="AO31" s="14">
        <f>B104</f>
        <v>32987.652720000006</v>
      </c>
      <c r="AP31" s="60"/>
      <c r="AQ31" s="15">
        <f>C105</f>
        <v>52556.783840000004</v>
      </c>
      <c r="AR31" s="14">
        <f>B105</f>
        <v>37296.185080000003</v>
      </c>
      <c r="AS31" s="60"/>
      <c r="AT31" s="15">
        <f>C106</f>
        <v>30008.585640000001</v>
      </c>
      <c r="AU31" s="14">
        <f>B106</f>
        <v>52983.592640000003</v>
      </c>
      <c r="AV31" s="60"/>
      <c r="AW31" s="15">
        <f>C107</f>
        <v>21459.484200000003</v>
      </c>
      <c r="AX31" s="14">
        <f>B107</f>
        <v>30657.737440000001</v>
      </c>
      <c r="AY31" s="10"/>
      <c r="AZ31" s="10"/>
      <c r="BA31" s="10"/>
      <c r="BB31" s="10"/>
      <c r="BC31" s="10"/>
      <c r="BD31" s="10"/>
      <c r="BE31" s="10"/>
      <c r="BF31" s="10"/>
      <c r="BG31" s="10"/>
    </row>
    <row r="32" spans="1:59" x14ac:dyDescent="0.45">
      <c r="A32" s="28"/>
      <c r="B32" s="12" t="str">
        <f>A110</f>
        <v>Wholesale Demand (Kgal)</v>
      </c>
      <c r="C32" s="11"/>
      <c r="D32" s="15">
        <f>C112</f>
        <v>0</v>
      </c>
      <c r="E32" s="14">
        <f>B112</f>
        <v>0</v>
      </c>
      <c r="G32" s="15">
        <f>C113</f>
        <v>14013.78</v>
      </c>
      <c r="H32" s="14">
        <f>B113</f>
        <v>21965.02</v>
      </c>
      <c r="J32" s="15">
        <f>C114</f>
        <v>0</v>
      </c>
      <c r="K32" s="14">
        <f>B114</f>
        <v>0</v>
      </c>
      <c r="M32" s="15">
        <f>C115</f>
        <v>0</v>
      </c>
      <c r="N32" s="14">
        <f>B115</f>
        <v>0</v>
      </c>
      <c r="O32" s="58"/>
      <c r="P32" s="15">
        <f>C116</f>
        <v>30443.599999999999</v>
      </c>
      <c r="Q32" s="14">
        <f>B116</f>
        <v>27331</v>
      </c>
      <c r="R32" s="58"/>
      <c r="S32" s="15">
        <f>C117</f>
        <v>0</v>
      </c>
      <c r="T32" s="14">
        <f>B117</f>
        <v>0</v>
      </c>
      <c r="V32" s="15">
        <f>C118</f>
        <v>0</v>
      </c>
      <c r="W32" s="14">
        <f>B118</f>
        <v>0</v>
      </c>
      <c r="X32" s="11"/>
      <c r="Y32" s="15">
        <f>C119</f>
        <v>38376.14</v>
      </c>
      <c r="Z32" s="14">
        <f>B119</f>
        <v>50400.24</v>
      </c>
      <c r="AA32" s="11"/>
      <c r="AB32" s="15">
        <f>C120</f>
        <v>0</v>
      </c>
      <c r="AC32" s="14">
        <f>B120</f>
        <v>0</v>
      </c>
      <c r="AD32" s="11"/>
      <c r="AE32" s="15">
        <f>C121</f>
        <v>0</v>
      </c>
      <c r="AF32" s="14">
        <f>B121</f>
        <v>0</v>
      </c>
      <c r="AG32" s="11"/>
      <c r="AH32" s="15">
        <f>C122</f>
        <v>24784.98</v>
      </c>
      <c r="AI32" s="14">
        <f>B122</f>
        <v>30611.9</v>
      </c>
      <c r="AJ32" s="11"/>
      <c r="AK32" s="15">
        <f>C123</f>
        <v>0</v>
      </c>
      <c r="AL32" s="14">
        <f>B123</f>
        <v>0</v>
      </c>
      <c r="AM32" s="60"/>
      <c r="AN32" s="15">
        <f>C124</f>
        <v>0</v>
      </c>
      <c r="AO32" s="14">
        <f>B124</f>
        <v>0</v>
      </c>
      <c r="AP32" s="60"/>
      <c r="AQ32" s="15">
        <f>C125</f>
        <v>21965.02</v>
      </c>
      <c r="AR32" s="15">
        <f>B125</f>
        <v>30196.76</v>
      </c>
      <c r="AS32" s="62"/>
      <c r="AT32" s="15">
        <f>C126</f>
        <v>0</v>
      </c>
      <c r="AU32" s="15">
        <f>B126</f>
        <v>0</v>
      </c>
      <c r="AV32" s="62"/>
      <c r="AW32" s="15">
        <f>F126</f>
        <v>0</v>
      </c>
      <c r="AX32" s="15">
        <f>E126</f>
        <v>0</v>
      </c>
      <c r="AY32" s="10"/>
      <c r="AZ32" s="10"/>
      <c r="BA32" s="10"/>
      <c r="BB32" s="10"/>
      <c r="BC32" s="10"/>
      <c r="BD32" s="10"/>
      <c r="BE32" s="10"/>
      <c r="BF32" s="10"/>
      <c r="BG32" s="10"/>
    </row>
    <row r="33" spans="1:59" x14ac:dyDescent="0.45">
      <c r="A33" s="28"/>
      <c r="B33" s="12" t="str">
        <f>"Total Demand ("&amp;'Demand Input'!$C$8&amp;")"</f>
        <v>Total Demand (Kgal)</v>
      </c>
      <c r="C33" s="11"/>
      <c r="D33" s="15">
        <f>SUM(D30:D32)</f>
        <v>135901.66656000001</v>
      </c>
      <c r="E33" s="14">
        <f>SUM(E30:E32)</f>
        <v>131388.51132000002</v>
      </c>
      <c r="G33" s="15">
        <f>SUM(G30:G32)</f>
        <v>179955.70692</v>
      </c>
      <c r="H33" s="14">
        <f>SUM(H30:H32)</f>
        <v>191209.29519999999</v>
      </c>
      <c r="J33" s="15">
        <f>SUM(J30:J32)</f>
        <v>146686.66716000001</v>
      </c>
      <c r="K33" s="14">
        <f>SUM(K30:K32)</f>
        <v>139607.55028</v>
      </c>
      <c r="M33" s="15">
        <f>SUM(M30:M32)</f>
        <v>133382.49979999999</v>
      </c>
      <c r="N33" s="14">
        <f>SUM(N30:N32)</f>
        <v>131115.4988</v>
      </c>
      <c r="O33" s="58"/>
      <c r="P33" s="15">
        <f>SUM(P30:P32)</f>
        <v>208622.92612000002</v>
      </c>
      <c r="Q33" s="14">
        <f>SUM(Q30:Q32)</f>
        <v>229714.63728000002</v>
      </c>
      <c r="R33" s="58"/>
      <c r="S33" s="15">
        <f>SUM(S30:S32)</f>
        <v>193707.95180000001</v>
      </c>
      <c r="T33" s="14">
        <f>SUM(T30:T32)</f>
        <v>193592.04920000001</v>
      </c>
      <c r="V33" s="15">
        <f>SUM(V30:V32)</f>
        <v>177852.83516000002</v>
      </c>
      <c r="W33" s="14">
        <f>SUM(W30:W32)</f>
        <v>190644.74968000001</v>
      </c>
      <c r="X33" s="11"/>
      <c r="Y33" s="15">
        <f>SUM(Y30:Y32)</f>
        <v>385351.37124000001</v>
      </c>
      <c r="Z33" s="14">
        <f>SUM(Z30:Z32)</f>
        <v>476335.84724000003</v>
      </c>
      <c r="AA33" s="11"/>
      <c r="AB33" s="15">
        <f>SUM(AB30:AB32)</f>
        <v>223163.12216000003</v>
      </c>
      <c r="AC33" s="14">
        <f>SUM(AC30:AC32)</f>
        <v>294066.73032000003</v>
      </c>
      <c r="AD33" s="11"/>
      <c r="AE33" s="15">
        <f>SUM(AE30:AE32)</f>
        <v>163460.253</v>
      </c>
      <c r="AF33" s="14">
        <f>SUM(AF30:AF32)</f>
        <v>200265.80992</v>
      </c>
      <c r="AG33" s="11"/>
      <c r="AH33" s="15">
        <f t="shared" ref="AH33:AO33" si="0">SUM(AH30:AH32)</f>
        <v>261579.23528000005</v>
      </c>
      <c r="AI33" s="14">
        <f t="shared" si="0"/>
        <v>310551.61808000004</v>
      </c>
      <c r="AJ33" s="11"/>
      <c r="AK33" s="15">
        <f t="shared" si="0"/>
        <v>156751.62052</v>
      </c>
      <c r="AL33" s="14">
        <f t="shared" si="0"/>
        <v>157425.09728000002</v>
      </c>
      <c r="AM33" s="60"/>
      <c r="AN33" s="15">
        <f t="shared" si="0"/>
        <v>131388.51132000002</v>
      </c>
      <c r="AO33" s="14">
        <f t="shared" si="0"/>
        <v>157525.89028000002</v>
      </c>
      <c r="AP33" s="60"/>
      <c r="AQ33" s="15">
        <f t="shared" ref="AQ33:AR33" si="1">SUM(AQ30:AQ32)</f>
        <v>191209.29519999999</v>
      </c>
      <c r="AR33" s="14">
        <f t="shared" si="1"/>
        <v>212003.08184000003</v>
      </c>
      <c r="AS33" s="60"/>
      <c r="AT33" s="15">
        <f t="shared" ref="AT33:AU33" si="2">SUM(AT30:AT32)</f>
        <v>139607.55028</v>
      </c>
      <c r="AU33" s="14">
        <f t="shared" si="2"/>
        <v>148297.41784000001</v>
      </c>
      <c r="AV33" s="60"/>
      <c r="AW33" s="15">
        <f t="shared" ref="AW33:AX33" si="3">SUM(AW30:AW32)</f>
        <v>131115.4988</v>
      </c>
      <c r="AX33" s="14">
        <f t="shared" si="3"/>
        <v>136929.65044</v>
      </c>
      <c r="AY33" s="10"/>
      <c r="AZ33" s="10"/>
      <c r="BA33" s="10"/>
      <c r="BB33" s="10"/>
      <c r="BC33" s="10"/>
      <c r="BD33" s="10"/>
      <c r="BE33" s="10"/>
      <c r="BF33" s="10"/>
      <c r="BG33" s="10"/>
    </row>
    <row r="34" spans="1:59" x14ac:dyDescent="0.45">
      <c r="A34" s="28"/>
      <c r="B34" s="12" t="s">
        <v>5</v>
      </c>
      <c r="C34" s="11"/>
      <c r="D34" s="69">
        <f>E33/D33-1</f>
        <v>-3.3208976418309444E-2</v>
      </c>
      <c r="E34" s="69"/>
      <c r="F34" s="19"/>
      <c r="G34" s="69">
        <f>H33/G33-1</f>
        <v>6.2535323122610453E-2</v>
      </c>
      <c r="H34" s="69"/>
      <c r="I34" s="19"/>
      <c r="J34" s="69">
        <f>K33/J33-1</f>
        <v>-4.8260124911546298E-2</v>
      </c>
      <c r="K34" s="69"/>
      <c r="L34" s="19"/>
      <c r="M34" s="69">
        <f>N33/M33-1</f>
        <v>-1.6996240161934573E-2</v>
      </c>
      <c r="N34" s="69"/>
      <c r="O34" s="19"/>
      <c r="P34" s="69">
        <f>Q33/P33-1</f>
        <v>0.10109968042471063</v>
      </c>
      <c r="Q34" s="69"/>
      <c r="R34" s="19"/>
      <c r="S34" s="69">
        <f>T33/S33-1</f>
        <v>-5.9833682057441884E-4</v>
      </c>
      <c r="T34" s="69"/>
      <c r="U34" s="19"/>
      <c r="V34" s="69">
        <f>W33/V33-1</f>
        <v>7.1924152957652421E-2</v>
      </c>
      <c r="W34" s="69"/>
      <c r="X34" s="11"/>
      <c r="Y34" s="69">
        <f>Z33/Y33-1</f>
        <v>0.23610782986765111</v>
      </c>
      <c r="Z34" s="69"/>
      <c r="AA34" s="11"/>
      <c r="AB34" s="69">
        <f>AC33/AB33-1</f>
        <v>0.31772099025019296</v>
      </c>
      <c r="AC34" s="69"/>
      <c r="AD34" s="11"/>
      <c r="AE34" s="69">
        <f>AF33/AE33-1</f>
        <v>0.22516517773895783</v>
      </c>
      <c r="AF34" s="69"/>
      <c r="AG34" s="11"/>
      <c r="AH34" s="69">
        <f>AI33/AH33-1</f>
        <v>0.18721815876393588</v>
      </c>
      <c r="AI34" s="69"/>
      <c r="AJ34" s="11"/>
      <c r="AK34" s="63">
        <f>AL33/AK33-1</f>
        <v>4.2964580383020312E-3</v>
      </c>
      <c r="AL34" s="64"/>
      <c r="AM34" s="61"/>
      <c r="AN34" s="63">
        <f>AO33/AN33-1</f>
        <v>0.19893199715416343</v>
      </c>
      <c r="AO34" s="64"/>
      <c r="AP34" s="61"/>
      <c r="AQ34" s="63">
        <f>AR33/AQ33-1</f>
        <v>0.10874882739487246</v>
      </c>
      <c r="AR34" s="64"/>
      <c r="AS34" s="61"/>
      <c r="AT34" s="63">
        <f>AU33/AT33-1</f>
        <v>6.2244968431660164E-2</v>
      </c>
      <c r="AU34" s="64"/>
      <c r="AV34" s="61"/>
      <c r="AW34" s="63">
        <f>AX33/AW33-1</f>
        <v>4.4343740390819342E-2</v>
      </c>
      <c r="AX34" s="64"/>
      <c r="AY34" s="10"/>
      <c r="AZ34" s="10"/>
      <c r="BA34" s="10"/>
      <c r="BB34" s="10"/>
      <c r="BC34" s="10"/>
      <c r="BD34" s="10"/>
      <c r="BE34" s="10"/>
      <c r="BF34" s="10"/>
      <c r="BG34" s="10"/>
    </row>
    <row r="35" spans="1:59" s="9" customFormat="1" ht="6" customHeight="1" x14ac:dyDescent="0.45">
      <c r="A35" s="28"/>
      <c r="B35" s="11"/>
      <c r="C35" s="11"/>
      <c r="D35" s="11"/>
      <c r="E35" s="11"/>
      <c r="F35" s="16"/>
      <c r="G35" s="11"/>
      <c r="H35" s="11"/>
      <c r="I35" s="16"/>
      <c r="J35" s="11"/>
      <c r="K35" s="11"/>
      <c r="L35" s="16"/>
      <c r="M35" s="11"/>
      <c r="N35" s="11"/>
      <c r="O35" s="16"/>
      <c r="P35" s="11"/>
      <c r="Q35" s="11"/>
      <c r="R35" s="16"/>
      <c r="S35" s="11"/>
      <c r="T35" s="11"/>
      <c r="U35" s="1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0"/>
      <c r="AZ35" s="10"/>
      <c r="BA35" s="10"/>
      <c r="BB35" s="10"/>
      <c r="BC35" s="10"/>
      <c r="BD35" s="10"/>
      <c r="BE35" s="10"/>
      <c r="BF35" s="10"/>
      <c r="BG35" s="10"/>
    </row>
    <row r="36" spans="1:59" x14ac:dyDescent="0.45">
      <c r="A36" s="28"/>
      <c r="B36" s="67" t="s">
        <v>41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59" x14ac:dyDescent="0.4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1"/>
      <c r="Y37" s="28"/>
      <c r="Z37" s="28"/>
      <c r="AA37" s="11"/>
      <c r="AB37" s="28"/>
      <c r="AC37" s="28"/>
      <c r="AD37" s="11"/>
      <c r="AE37" s="28"/>
      <c r="AF37" s="28"/>
      <c r="AG37" s="11"/>
      <c r="AH37" s="28"/>
      <c r="AI37" s="28"/>
      <c r="AJ37" s="11"/>
      <c r="AK37" s="28"/>
      <c r="AL37" s="28"/>
      <c r="AM37" s="11"/>
      <c r="AN37" s="28"/>
      <c r="AO37" s="28"/>
      <c r="AP37" s="11"/>
      <c r="AQ37" s="28"/>
      <c r="AR37" s="28"/>
      <c r="AS37" s="11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s="9" customFormat="1" x14ac:dyDescent="0.4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1"/>
      <c r="Y38" s="28"/>
      <c r="Z38" s="28"/>
      <c r="AA38" s="11"/>
      <c r="AB38" s="28"/>
      <c r="AC38" s="28"/>
      <c r="AD38" s="11"/>
      <c r="AE38" s="28"/>
      <c r="AF38" s="28"/>
      <c r="AG38" s="11"/>
      <c r="AH38" s="28"/>
      <c r="AI38" s="28"/>
      <c r="AJ38" s="11"/>
      <c r="AK38" s="28"/>
      <c r="AL38" s="28"/>
      <c r="AM38" s="11"/>
      <c r="AN38" s="28"/>
      <c r="AO38" s="28"/>
      <c r="AP38" s="11"/>
      <c r="AQ38" s="28"/>
      <c r="AR38" s="28"/>
      <c r="AS38" s="11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59" s="9" customFormat="1" x14ac:dyDescent="0.4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1"/>
      <c r="Y39" s="28"/>
      <c r="Z39" s="28"/>
      <c r="AA39" s="11"/>
      <c r="AB39" s="28"/>
      <c r="AC39" s="28"/>
      <c r="AD39" s="11"/>
      <c r="AE39" s="28"/>
      <c r="AF39" s="28"/>
      <c r="AG39" s="11"/>
      <c r="AH39" s="28"/>
      <c r="AI39" s="28"/>
      <c r="AJ39" s="11"/>
      <c r="AK39" s="28"/>
      <c r="AL39" s="28"/>
      <c r="AM39" s="11"/>
      <c r="AN39" s="28"/>
      <c r="AO39" s="28"/>
      <c r="AP39" s="11"/>
      <c r="AQ39" s="28"/>
      <c r="AR39" s="28"/>
      <c r="AS39" s="11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s="9" customFormat="1" x14ac:dyDescent="0.4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1"/>
      <c r="Y40" s="28"/>
      <c r="Z40" s="28"/>
      <c r="AA40" s="11"/>
      <c r="AB40" s="28"/>
      <c r="AC40" s="28"/>
      <c r="AD40" s="11"/>
      <c r="AE40" s="28"/>
      <c r="AF40" s="28"/>
      <c r="AG40" s="11"/>
      <c r="AH40" s="28"/>
      <c r="AI40" s="28"/>
      <c r="AJ40" s="11"/>
      <c r="AK40" s="28"/>
      <c r="AL40" s="28"/>
      <c r="AM40" s="11"/>
      <c r="AN40" s="28"/>
      <c r="AO40" s="28"/>
      <c r="AP40" s="11"/>
      <c r="AQ40" s="28"/>
      <c r="AR40" s="28"/>
      <c r="AS40" s="11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59" s="9" customFormat="1" x14ac:dyDescent="0.4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1"/>
      <c r="Y41" s="28"/>
      <c r="Z41" s="28"/>
      <c r="AA41" s="11"/>
      <c r="AB41" s="28"/>
      <c r="AC41" s="28"/>
      <c r="AD41" s="11"/>
      <c r="AE41" s="28"/>
      <c r="AF41" s="28"/>
      <c r="AG41" s="11"/>
      <c r="AH41" s="28"/>
      <c r="AI41" s="28"/>
      <c r="AJ41" s="11"/>
      <c r="AK41" s="28"/>
      <c r="AL41" s="28"/>
      <c r="AM41" s="11"/>
      <c r="AN41" s="28"/>
      <c r="AO41" s="28"/>
      <c r="AP41" s="11"/>
      <c r="AQ41" s="28"/>
      <c r="AR41" s="28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59" s="9" customFormat="1" x14ac:dyDescent="0.4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1"/>
      <c r="Y42" s="28"/>
      <c r="Z42" s="28"/>
      <c r="AA42" s="11"/>
      <c r="AB42" s="28"/>
      <c r="AC42" s="28"/>
      <c r="AD42" s="11"/>
      <c r="AE42" s="28"/>
      <c r="AF42" s="28"/>
      <c r="AG42" s="11"/>
      <c r="AH42" s="28"/>
      <c r="AI42" s="28"/>
      <c r="AJ42" s="11"/>
      <c r="AK42" s="28"/>
      <c r="AL42" s="28"/>
      <c r="AM42" s="11"/>
      <c r="AN42" s="28"/>
      <c r="AO42" s="28"/>
      <c r="AP42" s="11"/>
      <c r="AQ42" s="28"/>
      <c r="AR42" s="28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59" s="9" customFormat="1" x14ac:dyDescent="0.4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1"/>
      <c r="Y43" s="28"/>
      <c r="Z43" s="28"/>
      <c r="AA43" s="11"/>
      <c r="AB43" s="28"/>
      <c r="AC43" s="28"/>
      <c r="AD43" s="11"/>
      <c r="AE43" s="28"/>
      <c r="AF43" s="28"/>
      <c r="AG43" s="11"/>
      <c r="AH43" s="28"/>
      <c r="AI43" s="28"/>
      <c r="AJ43" s="11"/>
      <c r="AK43" s="28"/>
      <c r="AL43" s="28"/>
      <c r="AM43" s="11"/>
      <c r="AN43" s="28"/>
      <c r="AO43" s="28"/>
      <c r="AP43" s="11"/>
      <c r="AQ43" s="28"/>
      <c r="AR43" s="28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59" s="9" customFormat="1" x14ac:dyDescent="0.4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1"/>
      <c r="Y44" s="28"/>
      <c r="Z44" s="28"/>
      <c r="AA44" s="11"/>
      <c r="AB44" s="28"/>
      <c r="AC44" s="28"/>
      <c r="AD44" s="11"/>
      <c r="AE44" s="28"/>
      <c r="AF44" s="28"/>
      <c r="AG44" s="11"/>
      <c r="AH44" s="28"/>
      <c r="AI44" s="28"/>
      <c r="AJ44" s="11"/>
      <c r="AK44" s="28"/>
      <c r="AL44" s="28"/>
      <c r="AM44" s="11"/>
      <c r="AN44" s="28"/>
      <c r="AO44" s="28"/>
      <c r="AP44" s="11"/>
      <c r="AQ44" s="28"/>
      <c r="AR44" s="28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59" s="9" customFormat="1" x14ac:dyDescent="0.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1"/>
      <c r="Y45" s="28"/>
      <c r="Z45" s="28"/>
      <c r="AA45" s="11"/>
      <c r="AB45" s="28"/>
      <c r="AC45" s="28"/>
      <c r="AD45" s="11"/>
      <c r="AE45" s="28"/>
      <c r="AF45" s="28"/>
      <c r="AG45" s="11"/>
      <c r="AH45" s="28"/>
      <c r="AI45" s="28"/>
      <c r="AJ45" s="11"/>
      <c r="AK45" s="28"/>
      <c r="AL45" s="28"/>
      <c r="AM45" s="11"/>
      <c r="AN45" s="28"/>
      <c r="AO45" s="28"/>
      <c r="AP45" s="11"/>
      <c r="AQ45" s="28"/>
      <c r="AR45" s="28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59" s="9" customFormat="1" x14ac:dyDescent="0.4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11"/>
      <c r="AB46" s="28"/>
      <c r="AC46" s="28"/>
      <c r="AD46" s="11"/>
      <c r="AE46" s="28"/>
      <c r="AF46" s="28"/>
      <c r="AG46" s="11"/>
      <c r="AH46" s="28"/>
      <c r="AI46" s="28"/>
      <c r="AJ46" s="11"/>
      <c r="AK46" s="28"/>
      <c r="AL46" s="28"/>
      <c r="AM46" s="11"/>
      <c r="AN46" s="28"/>
      <c r="AO46" s="28"/>
      <c r="AP46" s="11"/>
      <c r="AQ46" s="28"/>
      <c r="AR46" s="28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59" s="9" customFormat="1" x14ac:dyDescent="0.45">
      <c r="X47" s="58"/>
      <c r="Z47" s="30"/>
      <c r="AA47" s="58"/>
      <c r="AB47" s="30"/>
      <c r="AC47" s="30"/>
      <c r="AD47" s="58"/>
      <c r="AE47" s="30"/>
      <c r="AG47" s="58"/>
      <c r="AJ47" s="58"/>
      <c r="AM47" s="58"/>
      <c r="AP47" s="58"/>
      <c r="AS47" s="58"/>
    </row>
    <row r="48" spans="1:59" s="9" customFormat="1" x14ac:dyDescent="0.45">
      <c r="A48" s="68" t="s">
        <v>12</v>
      </c>
      <c r="B48" s="68"/>
      <c r="C48" s="68"/>
      <c r="D48" s="68"/>
      <c r="E48" s="68"/>
      <c r="X48" s="58"/>
      <c r="Z48" s="30"/>
      <c r="AA48" s="58"/>
      <c r="AB48" s="30"/>
      <c r="AC48" s="30"/>
      <c r="AD48" s="58"/>
      <c r="AE48" s="30"/>
      <c r="AG48" s="58"/>
      <c r="AJ48" s="58"/>
      <c r="AM48" s="58"/>
      <c r="AP48" s="58"/>
      <c r="AS48" s="58"/>
    </row>
    <row r="49" spans="1:45" s="9" customFormat="1" x14ac:dyDescent="0.45">
      <c r="A49" s="24"/>
      <c r="B49" s="24"/>
      <c r="C49" s="24"/>
      <c r="D49" s="24"/>
      <c r="E49" s="24"/>
      <c r="X49" s="58"/>
      <c r="Z49" s="30"/>
      <c r="AA49" s="58"/>
      <c r="AB49" s="30"/>
      <c r="AC49" s="30"/>
      <c r="AD49" s="58"/>
      <c r="AE49" s="30"/>
      <c r="AG49" s="58"/>
      <c r="AJ49" s="58"/>
      <c r="AM49" s="58"/>
      <c r="AP49" s="58"/>
      <c r="AS49" s="58"/>
    </row>
    <row r="50" spans="1:45" x14ac:dyDescent="0.45">
      <c r="A50" s="7" t="str">
        <f>"Water Produced ("&amp;'Demand Input'!$C$9&amp;")"</f>
        <v>Water Produced (MG)</v>
      </c>
      <c r="Z50" s="30"/>
      <c r="AB50" s="30"/>
      <c r="AC50" s="30"/>
      <c r="AE50" s="30"/>
    </row>
    <row r="51" spans="1:45" ht="28.5" x14ac:dyDescent="0.45">
      <c r="A51" s="2" t="s">
        <v>0</v>
      </c>
      <c r="B51" s="3" t="s">
        <v>56</v>
      </c>
      <c r="C51" s="3" t="s">
        <v>50</v>
      </c>
      <c r="D51" t="s">
        <v>4</v>
      </c>
      <c r="Z51" s="30"/>
      <c r="AB51" s="30"/>
      <c r="AC51" s="30"/>
      <c r="AE51" s="30"/>
    </row>
    <row r="52" spans="1:45" x14ac:dyDescent="0.45">
      <c r="A52" s="53">
        <v>43862</v>
      </c>
      <c r="B52" s="23">
        <f>'Demand Input'!F40</f>
        <v>167.53200000000001</v>
      </c>
      <c r="C52" s="23">
        <f>'Demand Input'!D40</f>
        <v>173.84700000000001</v>
      </c>
      <c r="D52" s="5">
        <f t="shared" ref="D52:D59" si="4">B52/C52</f>
        <v>0.96367495556437555</v>
      </c>
      <c r="E52" s="5"/>
      <c r="F52" s="5"/>
      <c r="I52" s="5"/>
      <c r="L52" s="5"/>
      <c r="O52" s="5"/>
      <c r="R52" s="5"/>
      <c r="U52" s="5"/>
    </row>
    <row r="53" spans="1:45" x14ac:dyDescent="0.45">
      <c r="A53" s="53">
        <v>43891</v>
      </c>
      <c r="B53" s="23">
        <f>'Demand Input'!F41</f>
        <v>190.30600000000001</v>
      </c>
      <c r="C53" s="23">
        <f>'Demand Input'!D41</f>
        <v>195.333</v>
      </c>
      <c r="D53" s="5">
        <f t="shared" si="4"/>
        <v>0.97426446120215227</v>
      </c>
      <c r="E53" s="5"/>
      <c r="F53" s="5"/>
      <c r="I53" s="5"/>
      <c r="L53" s="5"/>
      <c r="O53" s="5"/>
      <c r="R53" s="5"/>
      <c r="U53" s="5"/>
    </row>
    <row r="54" spans="1:45" x14ac:dyDescent="0.45">
      <c r="A54" s="53">
        <v>43922</v>
      </c>
      <c r="B54" s="23">
        <f>'Demand Input'!F42</f>
        <v>178.22</v>
      </c>
      <c r="C54" s="23">
        <f>'Demand Input'!D42</f>
        <v>193.55099999999999</v>
      </c>
      <c r="D54" s="5">
        <f t="shared" si="4"/>
        <v>0.92079090265614749</v>
      </c>
      <c r="E54" s="5"/>
      <c r="F54" s="5"/>
      <c r="I54" s="5"/>
      <c r="L54" s="5"/>
      <c r="O54" s="5"/>
      <c r="R54" s="5"/>
      <c r="U54" s="5"/>
    </row>
    <row r="55" spans="1:45" x14ac:dyDescent="0.45">
      <c r="A55" s="53">
        <v>43952</v>
      </c>
      <c r="B55" s="23">
        <f>'Demand Input'!F43</f>
        <v>240.625</v>
      </c>
      <c r="C55" s="23">
        <f>'Demand Input'!D43</f>
        <v>228.09100000000001</v>
      </c>
      <c r="D55" s="5">
        <f t="shared" si="4"/>
        <v>1.0549517517131319</v>
      </c>
      <c r="E55" s="5"/>
      <c r="F55" s="5"/>
      <c r="I55" s="5"/>
      <c r="L55" s="5"/>
      <c r="O55" s="5"/>
      <c r="R55" s="5"/>
      <c r="U55" s="5"/>
    </row>
    <row r="56" spans="1:45" x14ac:dyDescent="0.45">
      <c r="A56" s="53">
        <v>43983</v>
      </c>
      <c r="B56" s="23">
        <f>'Demand Input'!F44</f>
        <v>348.57</v>
      </c>
      <c r="C56" s="23">
        <f>'Demand Input'!D44</f>
        <v>257.89999999999998</v>
      </c>
      <c r="D56" s="5">
        <f t="shared" si="4"/>
        <v>1.3515703761147733</v>
      </c>
      <c r="E56" s="5"/>
      <c r="F56" s="5"/>
      <c r="I56" s="5"/>
      <c r="L56" s="5"/>
      <c r="O56" s="5"/>
      <c r="R56" s="5"/>
      <c r="U56" s="5"/>
    </row>
    <row r="57" spans="1:45" x14ac:dyDescent="0.45">
      <c r="A57" s="53">
        <v>44013</v>
      </c>
      <c r="B57" s="23">
        <f>'Demand Input'!F45</f>
        <v>381.34</v>
      </c>
      <c r="C57" s="23">
        <f>'Demand Input'!D45</f>
        <v>333.37</v>
      </c>
      <c r="D57" s="5">
        <f t="shared" si="4"/>
        <v>1.1438941716411193</v>
      </c>
      <c r="E57" s="5"/>
      <c r="F57" s="5"/>
      <c r="I57" s="5"/>
      <c r="L57" s="5"/>
      <c r="O57" s="5"/>
      <c r="R57" s="5"/>
      <c r="U57" s="5"/>
    </row>
    <row r="58" spans="1:45" x14ac:dyDescent="0.45">
      <c r="A58" s="53">
        <v>44044</v>
      </c>
      <c r="B58" s="23">
        <f>'Demand Input'!F46</f>
        <v>370.12</v>
      </c>
      <c r="C58" s="23">
        <f>'Demand Input'!D46</f>
        <v>323.49</v>
      </c>
      <c r="D58" s="5">
        <f t="shared" si="4"/>
        <v>1.1441466505919813</v>
      </c>
      <c r="E58" s="5"/>
      <c r="F58" s="5"/>
      <c r="I58" s="5"/>
      <c r="L58" s="5"/>
      <c r="O58" s="5"/>
      <c r="R58" s="5"/>
      <c r="U58" s="5"/>
    </row>
    <row r="59" spans="1:45" s="9" customFormat="1" x14ac:dyDescent="0.45">
      <c r="A59" s="53">
        <v>44075</v>
      </c>
      <c r="B59" s="23">
        <f>'Demand Input'!F47</f>
        <v>320.39</v>
      </c>
      <c r="C59" s="23">
        <f>'Demand Input'!D47</f>
        <v>282.52999999999997</v>
      </c>
      <c r="D59" s="5">
        <f t="shared" si="4"/>
        <v>1.1340034686581957</v>
      </c>
      <c r="E59" s="5"/>
      <c r="F59" s="5"/>
      <c r="I59" s="5"/>
      <c r="L59" s="5"/>
      <c r="O59" s="5"/>
      <c r="R59" s="5"/>
      <c r="U59" s="5"/>
      <c r="X59" s="58"/>
      <c r="AA59" s="58"/>
      <c r="AD59" s="58"/>
      <c r="AG59" s="58"/>
      <c r="AJ59" s="58"/>
      <c r="AM59" s="58"/>
      <c r="AP59" s="58"/>
      <c r="AS59" s="58"/>
    </row>
    <row r="60" spans="1:45" s="9" customFormat="1" x14ac:dyDescent="0.45">
      <c r="A60" s="53">
        <v>44105</v>
      </c>
      <c r="B60" s="23">
        <f>'Demand Input'!F48</f>
        <v>233.34</v>
      </c>
      <c r="C60" s="23">
        <f>'Demand Input'!D48</f>
        <v>208.72</v>
      </c>
      <c r="D60" s="5">
        <f t="shared" ref="D60:D62" si="5">B60/C60</f>
        <v>1.1179570716749714</v>
      </c>
      <c r="E60" s="5"/>
      <c r="F60" s="5"/>
      <c r="I60" s="5"/>
      <c r="L60" s="5"/>
      <c r="O60" s="5"/>
      <c r="R60" s="5"/>
      <c r="U60" s="5"/>
      <c r="X60" s="58"/>
      <c r="AA60" s="58"/>
      <c r="AD60" s="58"/>
      <c r="AG60" s="58"/>
      <c r="AJ60" s="58"/>
      <c r="AM60" s="58"/>
      <c r="AP60" s="58"/>
      <c r="AS60" s="58"/>
    </row>
    <row r="61" spans="1:45" s="9" customFormat="1" x14ac:dyDescent="0.45">
      <c r="A61" s="53">
        <v>44136</v>
      </c>
      <c r="B61" s="23">
        <f>'Demand Input'!F49</f>
        <v>187.14</v>
      </c>
      <c r="C61" s="23">
        <f>'Demand Input'!D49</f>
        <v>193.92</v>
      </c>
      <c r="D61" s="5">
        <f t="shared" si="5"/>
        <v>0.96503712871287128</v>
      </c>
      <c r="E61" s="5"/>
      <c r="F61" s="5"/>
      <c r="I61" s="5"/>
      <c r="L61" s="5"/>
      <c r="O61" s="5"/>
      <c r="R61" s="5"/>
      <c r="U61" s="5"/>
      <c r="X61" s="58"/>
      <c r="AA61" s="58"/>
      <c r="AD61" s="58"/>
      <c r="AG61" s="58"/>
      <c r="AJ61" s="58"/>
      <c r="AM61" s="58"/>
      <c r="AP61" s="58"/>
      <c r="AS61" s="58"/>
    </row>
    <row r="62" spans="1:45" s="9" customFormat="1" x14ac:dyDescent="0.45">
      <c r="A62" s="53">
        <v>44166</v>
      </c>
      <c r="B62" s="23">
        <f>'Demand Input'!F50</f>
        <v>182.02</v>
      </c>
      <c r="C62" s="23">
        <f>'Demand Input'!D50</f>
        <v>188.86</v>
      </c>
      <c r="D62" s="5">
        <f t="shared" si="5"/>
        <v>0.96378269617706236</v>
      </c>
      <c r="E62" s="5"/>
      <c r="F62" s="5"/>
      <c r="I62" s="5"/>
      <c r="L62" s="5"/>
      <c r="O62" s="5"/>
      <c r="R62" s="5"/>
      <c r="U62" s="5"/>
      <c r="X62" s="58"/>
      <c r="AA62" s="58"/>
      <c r="AD62" s="58"/>
      <c r="AG62" s="58"/>
      <c r="AJ62" s="58"/>
      <c r="AM62" s="58"/>
      <c r="AP62" s="58"/>
      <c r="AS62" s="58"/>
    </row>
    <row r="63" spans="1:45" s="9" customFormat="1" x14ac:dyDescent="0.45">
      <c r="A63" s="53">
        <v>44197</v>
      </c>
      <c r="B63" s="23">
        <f>'Demand Input'!F51</f>
        <v>189.96</v>
      </c>
      <c r="C63" s="23">
        <f>'Demand Input'!D51</f>
        <v>189.94</v>
      </c>
      <c r="D63" s="5">
        <f t="shared" ref="D63:D64" si="6">B63/C63</f>
        <v>1.0001052964093924</v>
      </c>
      <c r="E63" s="5"/>
      <c r="F63" s="5"/>
      <c r="I63" s="5"/>
      <c r="L63" s="5"/>
      <c r="O63" s="5"/>
      <c r="R63" s="5"/>
      <c r="U63" s="5"/>
      <c r="X63" s="58"/>
      <c r="AA63" s="58"/>
      <c r="AD63" s="58"/>
      <c r="AG63" s="58"/>
      <c r="AJ63" s="58"/>
      <c r="AM63" s="58"/>
      <c r="AP63" s="58"/>
      <c r="AS63" s="58"/>
    </row>
    <row r="64" spans="1:45" s="9" customFormat="1" x14ac:dyDescent="0.45">
      <c r="A64" s="53">
        <v>44228</v>
      </c>
      <c r="B64" s="23">
        <f>'Demand Input'!F52</f>
        <v>178.97</v>
      </c>
      <c r="C64" s="23">
        <f>'Demand Input'!D52</f>
        <v>173.75</v>
      </c>
      <c r="D64" s="5">
        <f t="shared" si="6"/>
        <v>1.0300431654676259</v>
      </c>
      <c r="E64" s="5"/>
      <c r="F64" s="5"/>
      <c r="I64" s="5"/>
      <c r="L64" s="5"/>
      <c r="O64" s="5"/>
      <c r="R64" s="5"/>
      <c r="U64" s="5"/>
      <c r="X64" s="58"/>
      <c r="AA64" s="58"/>
      <c r="AD64" s="58"/>
      <c r="AG64" s="58"/>
      <c r="AJ64" s="58"/>
      <c r="AM64" s="58"/>
      <c r="AP64" s="58"/>
      <c r="AS64" s="58"/>
    </row>
    <row r="65" spans="1:45" s="9" customFormat="1" x14ac:dyDescent="0.45">
      <c r="A65" s="53">
        <v>44256</v>
      </c>
      <c r="B65" s="23">
        <f>'Demand Input'!F53</f>
        <v>195.96</v>
      </c>
      <c r="C65" s="23">
        <f>'Demand Input'!D53</f>
        <v>190.77</v>
      </c>
      <c r="D65" s="5">
        <f t="shared" ref="D65" si="7">B65/C65</f>
        <v>1.0272055354615506</v>
      </c>
      <c r="E65" s="5"/>
      <c r="F65" s="5"/>
      <c r="I65" s="5"/>
      <c r="L65" s="5"/>
      <c r="O65" s="5"/>
      <c r="R65" s="5"/>
      <c r="U65" s="5"/>
      <c r="X65" s="58"/>
      <c r="AA65" s="58"/>
      <c r="AD65" s="58"/>
      <c r="AG65" s="58"/>
      <c r="AJ65" s="58"/>
      <c r="AM65" s="58"/>
      <c r="AP65" s="58"/>
      <c r="AS65" s="58"/>
    </row>
    <row r="66" spans="1:45" s="9" customFormat="1" x14ac:dyDescent="0.45">
      <c r="A66" s="53">
        <v>44287</v>
      </c>
      <c r="B66" s="23">
        <f>'Demand Input'!F54</f>
        <v>203.05</v>
      </c>
      <c r="C66" s="23">
        <f>'Demand Input'!D54</f>
        <v>184.23</v>
      </c>
      <c r="D66" s="5">
        <f t="shared" ref="D66:D68" si="8">B66/C66</f>
        <v>1.1021549150518375</v>
      </c>
      <c r="E66" s="5"/>
      <c r="F66" s="5"/>
      <c r="I66" s="5"/>
      <c r="L66" s="5"/>
      <c r="O66" s="5"/>
      <c r="R66" s="5"/>
      <c r="U66" s="5"/>
      <c r="X66" s="58"/>
      <c r="AA66" s="58"/>
      <c r="AD66" s="58"/>
      <c r="AG66" s="58"/>
      <c r="AJ66" s="58"/>
      <c r="AM66" s="58"/>
      <c r="AP66" s="58"/>
      <c r="AS66" s="58"/>
    </row>
    <row r="67" spans="1:45" s="9" customFormat="1" x14ac:dyDescent="0.45">
      <c r="A67" s="49" t="s">
        <v>53</v>
      </c>
      <c r="B67" s="23">
        <f>'Demand Input'!F55</f>
        <v>280.19</v>
      </c>
      <c r="C67" s="23">
        <f>'Demand Input'!D55</f>
        <v>240.63</v>
      </c>
      <c r="D67" s="5">
        <f t="shared" si="8"/>
        <v>1.1644017786643395</v>
      </c>
      <c r="E67" s="5"/>
      <c r="F67" s="5"/>
      <c r="I67" s="5"/>
      <c r="L67" s="5"/>
      <c r="O67" s="5"/>
      <c r="R67" s="5"/>
      <c r="U67" s="5"/>
      <c r="X67" s="58"/>
      <c r="AA67" s="58"/>
      <c r="AD67" s="58"/>
      <c r="AG67" s="58"/>
      <c r="AJ67" s="58"/>
      <c r="AM67" s="58"/>
      <c r="AP67" s="58"/>
      <c r="AS67" s="58"/>
    </row>
    <row r="68" spans="1:45" s="9" customFormat="1" x14ac:dyDescent="0.45">
      <c r="A68" s="49" t="s">
        <v>54</v>
      </c>
      <c r="B68" s="23">
        <f>'Demand Input'!F56</f>
        <v>0</v>
      </c>
      <c r="C68" s="23">
        <f>'Demand Input'!D56</f>
        <v>0</v>
      </c>
      <c r="D68" s="5" t="e">
        <f t="shared" si="8"/>
        <v>#DIV/0!</v>
      </c>
      <c r="E68" s="5"/>
      <c r="F68" s="5"/>
      <c r="I68" s="5"/>
      <c r="L68" s="5"/>
      <c r="O68" s="5"/>
      <c r="R68" s="5"/>
      <c r="U68" s="5"/>
      <c r="X68" s="58"/>
      <c r="AA68" s="58"/>
      <c r="AD68" s="58"/>
      <c r="AG68" s="58"/>
      <c r="AJ68" s="58"/>
      <c r="AM68" s="58"/>
      <c r="AP68" s="58"/>
      <c r="AS68" s="58"/>
    </row>
    <row r="70" spans="1:45" x14ac:dyDescent="0.45">
      <c r="A70" s="7" t="str">
        <f>"Residential Demand ("&amp;'Demand Input'!$C$8&amp;")"</f>
        <v>Residential Demand (Kgal)</v>
      </c>
    </row>
    <row r="71" spans="1:45" ht="28.5" x14ac:dyDescent="0.45">
      <c r="A71" s="2" t="s">
        <v>0</v>
      </c>
      <c r="B71" s="3" t="s">
        <v>49</v>
      </c>
      <c r="C71" s="3" t="s">
        <v>50</v>
      </c>
    </row>
    <row r="72" spans="1:45" x14ac:dyDescent="0.45">
      <c r="A72" s="53">
        <v>43862</v>
      </c>
      <c r="B72" s="6">
        <f>'Demand Input'!F17</f>
        <v>104204.22408000001</v>
      </c>
      <c r="C72" s="6">
        <f>'Demand Input'!B17</f>
        <v>111009.96192</v>
      </c>
      <c r="D72" s="4">
        <f>B72/C72</f>
        <v>0.93869254864798002</v>
      </c>
      <c r="E72" s="4"/>
      <c r="F72" s="4"/>
      <c r="I72" s="4"/>
      <c r="L72" s="4"/>
      <c r="O72" s="4"/>
      <c r="R72" s="4"/>
      <c r="U72" s="4"/>
    </row>
    <row r="73" spans="1:45" x14ac:dyDescent="0.45">
      <c r="A73" s="53">
        <v>43891</v>
      </c>
      <c r="B73" s="6">
        <f>'Demand Input'!F18</f>
        <v>116687.49136</v>
      </c>
      <c r="C73" s="6">
        <f>'Demand Input'!B18</f>
        <v>123525.13140000001</v>
      </c>
      <c r="D73" s="4">
        <f t="shared" ref="D73:D79" si="9">B73/C73</f>
        <v>0.94464575781054372</v>
      </c>
      <c r="E73" s="4"/>
      <c r="F73" s="4"/>
      <c r="I73" s="4"/>
      <c r="L73" s="4"/>
      <c r="O73" s="4"/>
      <c r="R73" s="4"/>
      <c r="U73" s="4"/>
    </row>
    <row r="74" spans="1:45" x14ac:dyDescent="0.45">
      <c r="A74" s="53">
        <v>43922</v>
      </c>
      <c r="B74" s="6">
        <f>'Demand Input'!F19</f>
        <v>109598.96464000001</v>
      </c>
      <c r="C74" s="6">
        <f>'Demand Input'!B19</f>
        <v>113258.78652000001</v>
      </c>
      <c r="D74" s="4">
        <f t="shared" si="9"/>
        <v>0.9676861990804243</v>
      </c>
      <c r="E74" s="4"/>
      <c r="F74" s="4"/>
      <c r="I74" s="4"/>
      <c r="L74" s="4"/>
      <c r="O74" s="4"/>
      <c r="R74" s="4"/>
      <c r="U74" s="4"/>
    </row>
    <row r="75" spans="1:45" x14ac:dyDescent="0.45">
      <c r="A75" s="53">
        <v>43952</v>
      </c>
      <c r="B75" s="6">
        <f>'Demand Input'!F20</f>
        <v>109656.01460000001</v>
      </c>
      <c r="C75" s="6">
        <f>'Demand Input'!B20</f>
        <v>107128.05136</v>
      </c>
      <c r="D75" s="4">
        <f t="shared" si="9"/>
        <v>1.0235975844599738</v>
      </c>
      <c r="E75" s="4"/>
      <c r="F75" s="4"/>
      <c r="I75" s="4"/>
      <c r="L75" s="4"/>
      <c r="O75" s="4"/>
      <c r="R75" s="4"/>
      <c r="U75" s="4"/>
    </row>
    <row r="76" spans="1:45" x14ac:dyDescent="0.45">
      <c r="A76" s="53">
        <v>43983</v>
      </c>
      <c r="B76" s="6">
        <f>'Demand Input'!F21</f>
        <v>154696.23620000001</v>
      </c>
      <c r="C76" s="6">
        <f>'Demand Input'!B21</f>
        <v>144930.45292000001</v>
      </c>
      <c r="D76" s="4">
        <f t="shared" si="9"/>
        <v>1.0673825485482378</v>
      </c>
      <c r="E76" s="4"/>
      <c r="F76" s="4"/>
      <c r="I76" s="4"/>
      <c r="L76" s="4"/>
      <c r="O76" s="4"/>
      <c r="R76" s="4"/>
      <c r="U76" s="4"/>
    </row>
    <row r="77" spans="1:45" x14ac:dyDescent="0.45">
      <c r="A77" s="53">
        <v>44013</v>
      </c>
      <c r="B77" s="6">
        <f>'Demand Input'!F22</f>
        <v>159889.35336000001</v>
      </c>
      <c r="C77" s="6">
        <f>'Demand Input'!B22</f>
        <v>151028.01428</v>
      </c>
      <c r="D77" s="4">
        <f t="shared" si="9"/>
        <v>1.0586734793690091</v>
      </c>
      <c r="E77" s="4"/>
      <c r="F77" s="4"/>
      <c r="I77" s="4"/>
      <c r="L77" s="4"/>
      <c r="O77" s="4"/>
      <c r="R77" s="4"/>
      <c r="U77" s="4"/>
    </row>
    <row r="78" spans="1:45" x14ac:dyDescent="0.45">
      <c r="A78" s="53">
        <v>44044</v>
      </c>
      <c r="B78" s="6">
        <f>'Demand Input'!F23</f>
        <v>160013.98512</v>
      </c>
      <c r="C78" s="6">
        <f>'Demand Input'!B23</f>
        <v>143816.33684</v>
      </c>
      <c r="D78" s="4">
        <f t="shared" si="9"/>
        <v>1.1126273178409514</v>
      </c>
      <c r="E78" s="4"/>
      <c r="F78" s="4"/>
      <c r="I78" s="4"/>
      <c r="L78" s="4"/>
      <c r="O78" s="4"/>
      <c r="R78" s="4"/>
      <c r="U78" s="4"/>
    </row>
    <row r="79" spans="1:45" x14ac:dyDescent="0.45">
      <c r="A79" s="53">
        <v>44075</v>
      </c>
      <c r="B79" s="6">
        <f>'Demand Input'!F24</f>
        <v>337995.64084000001</v>
      </c>
      <c r="C79" s="6">
        <f>'Demand Input'!B24</f>
        <v>260607.45612000002</v>
      </c>
      <c r="D79" s="4">
        <f t="shared" si="9"/>
        <v>1.2969530721498836</v>
      </c>
    </row>
    <row r="80" spans="1:45" s="9" customFormat="1" x14ac:dyDescent="0.45">
      <c r="A80" s="53">
        <v>44105</v>
      </c>
      <c r="B80" s="6">
        <f>'Demand Input'!F25</f>
        <v>243049.08364000003</v>
      </c>
      <c r="C80" s="6">
        <f>'Demand Input'!B25</f>
        <v>173601.36772000001</v>
      </c>
      <c r="D80" s="4">
        <f t="shared" ref="D80:D82" si="10">B80/C80</f>
        <v>1.4000412947898635</v>
      </c>
      <c r="E80" s="5"/>
      <c r="F80" s="5"/>
      <c r="I80" s="5"/>
      <c r="L80" s="5"/>
      <c r="O80" s="5"/>
      <c r="R80" s="5"/>
      <c r="U80" s="5"/>
      <c r="X80" s="58"/>
      <c r="AA80" s="58"/>
      <c r="AD80" s="58"/>
      <c r="AG80" s="58"/>
      <c r="AJ80" s="58"/>
      <c r="AM80" s="58"/>
      <c r="AP80" s="58"/>
      <c r="AS80" s="58"/>
    </row>
    <row r="81" spans="1:45" s="9" customFormat="1" x14ac:dyDescent="0.45">
      <c r="A81" s="53">
        <v>44136</v>
      </c>
      <c r="B81" s="6">
        <f>'Demand Input'!F26</f>
        <v>162175.56299999999</v>
      </c>
      <c r="C81" s="6">
        <f>'Demand Input'!B26</f>
        <v>131198.83348</v>
      </c>
      <c r="D81" s="4">
        <f t="shared" si="10"/>
        <v>1.2361052205904111</v>
      </c>
      <c r="E81" s="5"/>
      <c r="F81" s="5"/>
      <c r="I81" s="5"/>
      <c r="L81" s="5"/>
      <c r="O81" s="5"/>
      <c r="R81" s="5"/>
      <c r="U81" s="5"/>
      <c r="X81" s="58"/>
      <c r="AA81" s="58"/>
      <c r="AD81" s="58"/>
      <c r="AG81" s="58"/>
      <c r="AJ81" s="58"/>
      <c r="AM81" s="58"/>
      <c r="AP81" s="58"/>
      <c r="AS81" s="58"/>
    </row>
    <row r="82" spans="1:45" s="9" customFormat="1" x14ac:dyDescent="0.45">
      <c r="A82" s="53">
        <v>44166</v>
      </c>
      <c r="B82" s="6">
        <f>'Demand Input'!F27</f>
        <v>207737.90356000001</v>
      </c>
      <c r="C82" s="6">
        <f>'Demand Input'!B27</f>
        <v>170629.38420000003</v>
      </c>
      <c r="D82" s="4">
        <f t="shared" si="10"/>
        <v>1.2174802396081084</v>
      </c>
      <c r="E82" s="5"/>
      <c r="F82" s="5"/>
      <c r="I82" s="5"/>
      <c r="L82" s="5"/>
      <c r="O82" s="5"/>
      <c r="R82" s="5"/>
      <c r="U82" s="5"/>
      <c r="X82" s="58"/>
      <c r="AA82" s="58"/>
      <c r="AD82" s="58"/>
      <c r="AG82" s="58"/>
      <c r="AJ82" s="58"/>
      <c r="AM82" s="58"/>
      <c r="AP82" s="58"/>
      <c r="AS82" s="58"/>
    </row>
    <row r="83" spans="1:45" s="9" customFormat="1" x14ac:dyDescent="0.45">
      <c r="A83" s="53">
        <v>44197</v>
      </c>
      <c r="B83" s="6">
        <f>'Demand Input'!F28</f>
        <v>124779.79668000001</v>
      </c>
      <c r="C83" s="6">
        <f>'Demand Input'!B28</f>
        <v>117899.62536000001</v>
      </c>
      <c r="D83" s="4">
        <f t="shared" ref="D83" si="11">B83/C83</f>
        <v>1.0583561762727556</v>
      </c>
      <c r="E83" s="5"/>
      <c r="F83" s="5"/>
      <c r="I83" s="5"/>
      <c r="L83" s="5"/>
      <c r="O83" s="5"/>
      <c r="R83" s="5"/>
      <c r="U83" s="5"/>
      <c r="X83" s="58"/>
      <c r="AA83" s="58"/>
      <c r="AD83" s="58"/>
      <c r="AG83" s="58"/>
      <c r="AJ83" s="58"/>
      <c r="AM83" s="58"/>
      <c r="AP83" s="58"/>
      <c r="AS83" s="58"/>
    </row>
    <row r="84" spans="1:45" s="9" customFormat="1" x14ac:dyDescent="0.45">
      <c r="A84" s="53">
        <v>44228</v>
      </c>
      <c r="B84" s="6">
        <f>'Demand Input'!F29</f>
        <v>124538.23756000001</v>
      </c>
      <c r="C84" s="6">
        <f>'Demand Input'!B29</f>
        <v>104204.22408000001</v>
      </c>
      <c r="D84" s="4">
        <f t="shared" ref="D84" si="12">B84/C84</f>
        <v>1.1951361728329659</v>
      </c>
      <c r="E84" s="5"/>
      <c r="F84" s="5"/>
      <c r="I84" s="5"/>
      <c r="L84" s="5"/>
      <c r="O84" s="5"/>
      <c r="R84" s="5"/>
      <c r="U84" s="5"/>
      <c r="X84" s="58"/>
      <c r="AA84" s="58"/>
      <c r="AD84" s="58"/>
      <c r="AG84" s="58"/>
      <c r="AJ84" s="58"/>
      <c r="AM84" s="58"/>
      <c r="AP84" s="58"/>
      <c r="AS84" s="58"/>
    </row>
    <row r="85" spans="1:45" s="9" customFormat="1" x14ac:dyDescent="0.45">
      <c r="A85" s="53">
        <v>44256</v>
      </c>
      <c r="B85" s="6">
        <f>'Demand Input'!F30</f>
        <v>144510.13676000002</v>
      </c>
      <c r="C85" s="6">
        <f>'Demand Input'!B30</f>
        <v>116687.49136</v>
      </c>
      <c r="D85" s="4">
        <f t="shared" ref="D85" si="13">B85/C85</f>
        <v>1.2384372572906088</v>
      </c>
      <c r="E85" s="5"/>
      <c r="F85" s="5"/>
      <c r="I85" s="5"/>
      <c r="L85" s="5"/>
      <c r="O85" s="5"/>
      <c r="R85" s="5"/>
      <c r="U85" s="5"/>
      <c r="X85" s="58"/>
      <c r="AA85" s="58"/>
      <c r="AD85" s="58"/>
      <c r="AG85" s="58"/>
      <c r="AJ85" s="58"/>
      <c r="AM85" s="58"/>
      <c r="AP85" s="58"/>
      <c r="AS85" s="58"/>
    </row>
    <row r="86" spans="1:45" s="9" customFormat="1" x14ac:dyDescent="0.45">
      <c r="A86" s="53">
        <v>44287</v>
      </c>
      <c r="B86" s="6">
        <f>'Demand Input'!F31</f>
        <v>95313.825200000007</v>
      </c>
      <c r="C86" s="6">
        <f>'Demand Input'!B31</f>
        <v>109598.96464000001</v>
      </c>
      <c r="D86" s="4">
        <f t="shared" ref="D86:D88" si="14">B86/C86</f>
        <v>0.86965990521057901</v>
      </c>
      <c r="E86" s="5"/>
      <c r="F86" s="5"/>
      <c r="I86" s="5"/>
      <c r="L86" s="5"/>
      <c r="O86" s="5"/>
      <c r="R86" s="5"/>
      <c r="U86" s="5"/>
      <c r="X86" s="58"/>
      <c r="AA86" s="58"/>
      <c r="AD86" s="58"/>
      <c r="AG86" s="58"/>
      <c r="AJ86" s="58"/>
      <c r="AM86" s="58"/>
      <c r="AP86" s="58"/>
      <c r="AS86" s="58"/>
    </row>
    <row r="87" spans="1:45" s="9" customFormat="1" x14ac:dyDescent="0.45">
      <c r="A87" s="49" t="s">
        <v>53</v>
      </c>
      <c r="B87" s="6">
        <f>'Demand Input'!F32</f>
        <v>106271.913</v>
      </c>
      <c r="C87" s="6">
        <f>'Demand Input'!B32</f>
        <v>109656.01460000001</v>
      </c>
      <c r="D87" s="4">
        <f t="shared" si="14"/>
        <v>0.96913893312332722</v>
      </c>
      <c r="E87" s="5"/>
      <c r="F87" s="5"/>
      <c r="I87" s="5"/>
      <c r="L87" s="5"/>
      <c r="O87" s="5"/>
      <c r="R87" s="5"/>
      <c r="U87" s="5"/>
      <c r="X87" s="58"/>
      <c r="AA87" s="58"/>
      <c r="AD87" s="58"/>
      <c r="AG87" s="58"/>
      <c r="AJ87" s="58"/>
      <c r="AM87" s="58"/>
      <c r="AP87" s="58"/>
      <c r="AS87" s="58"/>
    </row>
    <row r="88" spans="1:45" s="9" customFormat="1" x14ac:dyDescent="0.45">
      <c r="A88" s="49" t="s">
        <v>54</v>
      </c>
      <c r="B88" s="6">
        <f>'Demand Input'!F33</f>
        <v>0</v>
      </c>
      <c r="C88" s="6">
        <f>'Demand Input'!B33</f>
        <v>0</v>
      </c>
      <c r="D88" s="4" t="e">
        <f t="shared" si="14"/>
        <v>#DIV/0!</v>
      </c>
      <c r="E88" s="5"/>
      <c r="F88" s="5"/>
      <c r="I88" s="5"/>
      <c r="L88" s="5"/>
      <c r="O88" s="5"/>
      <c r="R88" s="5"/>
      <c r="U88" s="5"/>
      <c r="X88" s="58"/>
      <c r="AA88" s="58"/>
      <c r="AD88" s="58"/>
      <c r="AG88" s="58"/>
      <c r="AJ88" s="58"/>
      <c r="AM88" s="58"/>
      <c r="AP88" s="58"/>
      <c r="AS88" s="58"/>
    </row>
    <row r="90" spans="1:45" x14ac:dyDescent="0.45">
      <c r="A90" s="7" t="str">
        <f>"Non-Residential Demand ("&amp;'Demand Input'!$C$8&amp;")"</f>
        <v>Non-Residential Demand (Kgal)</v>
      </c>
    </row>
    <row r="91" spans="1:45" ht="28.5" x14ac:dyDescent="0.45">
      <c r="A91" s="2" t="s">
        <v>0</v>
      </c>
      <c r="B91" s="3" t="s">
        <v>49</v>
      </c>
      <c r="C91" s="3" t="s">
        <v>50</v>
      </c>
    </row>
    <row r="92" spans="1:45" x14ac:dyDescent="0.45">
      <c r="A92" s="53">
        <v>43862</v>
      </c>
      <c r="B92" s="6">
        <f>'Demand Input'!G17</f>
        <v>27184.287240000001</v>
      </c>
      <c r="C92" s="6">
        <f>'Demand Input'!C17</f>
        <v>24891.70464</v>
      </c>
      <c r="D92" s="4">
        <f>B92/C92</f>
        <v>1.092102273956598</v>
      </c>
      <c r="E92" s="4"/>
      <c r="F92" s="4"/>
      <c r="I92" s="4"/>
      <c r="L92" s="4"/>
      <c r="O92" s="4"/>
      <c r="R92" s="4"/>
      <c r="U92" s="4"/>
    </row>
    <row r="93" spans="1:45" x14ac:dyDescent="0.45">
      <c r="A93" s="53">
        <v>43891</v>
      </c>
      <c r="B93" s="6">
        <f>'Demand Input'!G18</f>
        <v>52556.783840000004</v>
      </c>
      <c r="C93" s="6">
        <f>'Demand Input'!C18</f>
        <v>42416.79552</v>
      </c>
      <c r="D93" s="4">
        <f t="shared" ref="D93:D99" si="15">B93/C93</f>
        <v>1.2390559728921269</v>
      </c>
      <c r="E93" s="4"/>
      <c r="F93" s="4"/>
      <c r="I93" s="4"/>
      <c r="L93" s="4"/>
      <c r="O93" s="4"/>
      <c r="R93" s="4"/>
      <c r="U93" s="4"/>
    </row>
    <row r="94" spans="1:45" x14ac:dyDescent="0.45">
      <c r="A94" s="53">
        <v>43922</v>
      </c>
      <c r="B94" s="6">
        <f>'Demand Input'!G19</f>
        <v>30008.585640000001</v>
      </c>
      <c r="C94" s="6">
        <f>'Demand Input'!C19</f>
        <v>33427.880640000003</v>
      </c>
      <c r="D94" s="4">
        <f t="shared" si="15"/>
        <v>0.89771128367891639</v>
      </c>
      <c r="E94" s="4"/>
      <c r="F94" s="4"/>
      <c r="I94" s="4"/>
      <c r="L94" s="4"/>
      <c r="O94" s="4"/>
      <c r="R94" s="4"/>
      <c r="U94" s="4"/>
    </row>
    <row r="95" spans="1:45" x14ac:dyDescent="0.45">
      <c r="A95" s="53">
        <v>43952</v>
      </c>
      <c r="B95" s="6">
        <f>'Demand Input'!G20</f>
        <v>21459.484200000003</v>
      </c>
      <c r="C95" s="6">
        <f>'Demand Input'!C20</f>
        <v>26254.44844</v>
      </c>
      <c r="D95" s="4">
        <f t="shared" si="15"/>
        <v>0.81736564563685055</v>
      </c>
      <c r="E95" s="4"/>
      <c r="F95" s="4"/>
      <c r="I95" s="4"/>
      <c r="L95" s="4"/>
      <c r="O95" s="4"/>
      <c r="R95" s="4"/>
      <c r="U95" s="4"/>
    </row>
    <row r="96" spans="1:45" x14ac:dyDescent="0.45">
      <c r="A96" s="53">
        <v>43983</v>
      </c>
      <c r="B96" s="6">
        <f>'Demand Input'!G21</f>
        <v>47687.401080000003</v>
      </c>
      <c r="C96" s="6">
        <f>'Demand Input'!C21</f>
        <v>33248.873200000002</v>
      </c>
      <c r="D96" s="4">
        <f t="shared" si="15"/>
        <v>1.4342561563860756</v>
      </c>
      <c r="E96" s="4"/>
      <c r="F96" s="4"/>
      <c r="I96" s="4"/>
      <c r="L96" s="4"/>
      <c r="O96" s="4"/>
      <c r="R96" s="4"/>
      <c r="U96" s="4"/>
    </row>
    <row r="97" spans="1:45" x14ac:dyDescent="0.45">
      <c r="A97" s="53">
        <v>44013</v>
      </c>
      <c r="B97" s="6">
        <f>'Demand Input'!G22</f>
        <v>33702.69584</v>
      </c>
      <c r="C97" s="6">
        <f>'Demand Input'!C22</f>
        <v>42679.937520000007</v>
      </c>
      <c r="D97" s="4">
        <f t="shared" si="15"/>
        <v>0.78966132094750063</v>
      </c>
      <c r="E97" s="4"/>
      <c r="F97" s="4"/>
      <c r="I97" s="4"/>
      <c r="L97" s="4"/>
      <c r="O97" s="4"/>
      <c r="R97" s="4"/>
      <c r="U97" s="4"/>
    </row>
    <row r="98" spans="1:45" x14ac:dyDescent="0.45">
      <c r="A98" s="53">
        <v>44044</v>
      </c>
      <c r="B98" s="6">
        <f>'Demand Input'!G23</f>
        <v>30630.764560000003</v>
      </c>
      <c r="C98" s="6">
        <f>'Demand Input'!C23</f>
        <v>34036.498319999999</v>
      </c>
      <c r="D98" s="4">
        <f t="shared" si="15"/>
        <v>0.89993877372518161</v>
      </c>
      <c r="E98" s="4"/>
      <c r="F98" s="4"/>
      <c r="I98" s="4"/>
      <c r="L98" s="4"/>
      <c r="O98" s="4"/>
      <c r="R98" s="4"/>
      <c r="U98" s="4"/>
    </row>
    <row r="99" spans="1:45" x14ac:dyDescent="0.45">
      <c r="A99" s="53">
        <v>44075</v>
      </c>
      <c r="B99" s="6">
        <f>'Demand Input'!G24</f>
        <v>87939.966400000005</v>
      </c>
      <c r="C99" s="6">
        <f>'Demand Input'!C24</f>
        <v>86367.775120000006</v>
      </c>
      <c r="D99" s="4">
        <f t="shared" si="15"/>
        <v>1.0182034477305406</v>
      </c>
    </row>
    <row r="100" spans="1:45" s="9" customFormat="1" x14ac:dyDescent="0.45">
      <c r="A100" s="53">
        <v>44105</v>
      </c>
      <c r="B100" s="6">
        <f>'Demand Input'!G25</f>
        <v>51017.646679999998</v>
      </c>
      <c r="C100" s="6">
        <f>'Demand Input'!C25</f>
        <v>49561.754440000004</v>
      </c>
      <c r="D100" s="4">
        <f t="shared" ref="D100:D102" si="16">B100/C100</f>
        <v>1.0293753168436059</v>
      </c>
      <c r="E100" s="5"/>
      <c r="F100" s="5"/>
      <c r="I100" s="5"/>
      <c r="L100" s="5"/>
      <c r="O100" s="5"/>
      <c r="R100" s="5"/>
      <c r="U100" s="5"/>
      <c r="X100" s="58"/>
      <c r="AA100" s="58"/>
      <c r="AD100" s="58"/>
      <c r="AG100" s="58"/>
      <c r="AJ100" s="58"/>
      <c r="AM100" s="58"/>
      <c r="AP100" s="58"/>
      <c r="AS100" s="58"/>
    </row>
    <row r="101" spans="1:45" s="9" customFormat="1" x14ac:dyDescent="0.45">
      <c r="A101" s="53">
        <v>44136</v>
      </c>
      <c r="B101" s="6">
        <f>'Demand Input'!G26</f>
        <v>38090.246920000005</v>
      </c>
      <c r="C101" s="6">
        <f>'Demand Input'!C26</f>
        <v>32261.419520000003</v>
      </c>
      <c r="D101" s="4">
        <f t="shared" si="16"/>
        <v>1.1806748582896827</v>
      </c>
      <c r="E101" s="5"/>
      <c r="F101" s="5"/>
      <c r="I101" s="5"/>
      <c r="L101" s="5"/>
      <c r="O101" s="5"/>
      <c r="R101" s="5"/>
      <c r="U101" s="5"/>
      <c r="X101" s="58"/>
      <c r="AA101" s="58"/>
      <c r="AD101" s="58"/>
      <c r="AG101" s="58"/>
      <c r="AJ101" s="58"/>
      <c r="AM101" s="58"/>
      <c r="AP101" s="58"/>
      <c r="AS101" s="58"/>
    </row>
    <row r="102" spans="1:45" s="9" customFormat="1" x14ac:dyDescent="0.45">
      <c r="A102" s="53">
        <v>44166</v>
      </c>
      <c r="B102" s="6">
        <f>'Demand Input'!G27</f>
        <v>72201.814520000014</v>
      </c>
      <c r="C102" s="6">
        <f>'Demand Input'!C27</f>
        <v>66164.871080000012</v>
      </c>
      <c r="D102" s="4">
        <f t="shared" si="16"/>
        <v>1.0912409159340872</v>
      </c>
      <c r="E102" s="5"/>
      <c r="F102" s="5"/>
      <c r="I102" s="5"/>
      <c r="L102" s="5"/>
      <c r="O102" s="5"/>
      <c r="R102" s="5"/>
      <c r="U102" s="5"/>
      <c r="X102" s="58"/>
      <c r="AA102" s="58"/>
      <c r="AD102" s="58"/>
      <c r="AG102" s="58"/>
      <c r="AJ102" s="58"/>
      <c r="AM102" s="58"/>
      <c r="AP102" s="58"/>
      <c r="AS102" s="58"/>
    </row>
    <row r="103" spans="1:45" s="9" customFormat="1" x14ac:dyDescent="0.45">
      <c r="A103" s="53">
        <v>44197</v>
      </c>
      <c r="B103" s="6">
        <f>'Demand Input'!G28</f>
        <v>32645.300600000002</v>
      </c>
      <c r="C103" s="6">
        <f>'Demand Input'!C28</f>
        <v>38851.995160000006</v>
      </c>
      <c r="D103" s="4">
        <f t="shared" ref="D103" si="17">B103/C103</f>
        <v>0.84024772641817647</v>
      </c>
      <c r="E103" s="5"/>
      <c r="F103" s="5"/>
      <c r="I103" s="5"/>
      <c r="L103" s="5"/>
      <c r="O103" s="5"/>
      <c r="R103" s="5"/>
      <c r="U103" s="5"/>
      <c r="X103" s="58"/>
      <c r="AA103" s="58"/>
      <c r="AD103" s="58"/>
      <c r="AG103" s="58"/>
      <c r="AJ103" s="58"/>
      <c r="AM103" s="58"/>
      <c r="AP103" s="58"/>
      <c r="AS103" s="58"/>
    </row>
    <row r="104" spans="1:45" x14ac:dyDescent="0.45">
      <c r="A104" s="53">
        <v>44228</v>
      </c>
      <c r="B104" s="6">
        <f>'Demand Input'!G29</f>
        <v>32987.652720000006</v>
      </c>
      <c r="C104" s="6">
        <f>'Demand Input'!C29</f>
        <v>27184.287240000001</v>
      </c>
      <c r="D104" s="4">
        <f t="shared" ref="D104" si="18">B104/C104</f>
        <v>1.2134823484156212</v>
      </c>
    </row>
    <row r="105" spans="1:45" s="9" customFormat="1" x14ac:dyDescent="0.45">
      <c r="A105" s="53">
        <v>44256</v>
      </c>
      <c r="B105" s="6">
        <f>'Demand Input'!G30</f>
        <v>37296.185080000003</v>
      </c>
      <c r="C105" s="6">
        <f>'Demand Input'!C30</f>
        <v>52556.783840000004</v>
      </c>
      <c r="D105" s="4">
        <f t="shared" ref="D105" si="19">B105/C105</f>
        <v>0.70963598521442561</v>
      </c>
      <c r="X105" s="58"/>
      <c r="AA105" s="58"/>
      <c r="AD105" s="58"/>
      <c r="AG105" s="58"/>
      <c r="AJ105" s="58"/>
      <c r="AM105" s="58"/>
      <c r="AP105" s="58"/>
      <c r="AS105" s="58"/>
    </row>
    <row r="106" spans="1:45" s="9" customFormat="1" x14ac:dyDescent="0.45">
      <c r="A106" s="53">
        <v>44287</v>
      </c>
      <c r="B106" s="6">
        <f>'Demand Input'!G31</f>
        <v>52983.592640000003</v>
      </c>
      <c r="C106" s="6">
        <f>'Demand Input'!C31</f>
        <v>30008.585640000001</v>
      </c>
      <c r="D106" s="4">
        <f t="shared" ref="D106" si="20">B106/C106</f>
        <v>1.7656144569964478</v>
      </c>
      <c r="X106" s="58"/>
      <c r="AA106" s="58"/>
      <c r="AD106" s="58"/>
      <c r="AG106" s="58"/>
      <c r="AJ106" s="58"/>
      <c r="AM106" s="58"/>
      <c r="AP106" s="58"/>
      <c r="AS106" s="58"/>
    </row>
    <row r="107" spans="1:45" s="9" customFormat="1" x14ac:dyDescent="0.45">
      <c r="A107" s="49" t="s">
        <v>53</v>
      </c>
      <c r="B107" s="6">
        <f>'Demand Input'!G32</f>
        <v>30657.737440000001</v>
      </c>
      <c r="C107" s="6">
        <f>'Demand Input'!C32</f>
        <v>21459.484200000003</v>
      </c>
      <c r="D107" s="4">
        <f t="shared" ref="D107:D108" si="21">B107/C107</f>
        <v>1.4286334729331471</v>
      </c>
      <c r="X107" s="58"/>
      <c r="AA107" s="58"/>
      <c r="AD107" s="58"/>
      <c r="AG107" s="58"/>
      <c r="AJ107" s="58"/>
      <c r="AM107" s="58"/>
      <c r="AP107" s="58"/>
      <c r="AS107" s="58"/>
    </row>
    <row r="108" spans="1:45" s="9" customFormat="1" x14ac:dyDescent="0.45">
      <c r="A108" s="49" t="s">
        <v>54</v>
      </c>
      <c r="B108" s="6">
        <f>'Demand Input'!G33</f>
        <v>0</v>
      </c>
      <c r="C108" s="6">
        <f>'Demand Input'!C33</f>
        <v>0</v>
      </c>
      <c r="D108" s="4" t="e">
        <f t="shared" si="21"/>
        <v>#DIV/0!</v>
      </c>
      <c r="X108" s="58"/>
      <c r="AA108" s="58"/>
      <c r="AD108" s="58"/>
      <c r="AG108" s="58"/>
      <c r="AJ108" s="58"/>
      <c r="AM108" s="58"/>
      <c r="AP108" s="58"/>
      <c r="AS108" s="58"/>
    </row>
    <row r="109" spans="1:45" s="9" customFormat="1" x14ac:dyDescent="0.45">
      <c r="A109" s="1"/>
      <c r="B109" s="6"/>
      <c r="C109" s="6"/>
      <c r="D109" s="4"/>
      <c r="X109" s="58"/>
      <c r="AA109" s="58"/>
      <c r="AD109" s="58"/>
      <c r="AG109" s="58"/>
      <c r="AJ109" s="58"/>
      <c r="AM109" s="58"/>
      <c r="AP109" s="58"/>
      <c r="AS109" s="58"/>
    </row>
    <row r="110" spans="1:45" x14ac:dyDescent="0.45">
      <c r="A110" s="7" t="str">
        <f>"Wholesale Demand ("&amp;'Demand Input'!$C$8&amp;")"</f>
        <v>Wholesale Demand (Kgal)</v>
      </c>
    </row>
    <row r="111" spans="1:45" ht="28.5" x14ac:dyDescent="0.45">
      <c r="A111" s="2" t="s">
        <v>0</v>
      </c>
      <c r="B111" s="3" t="s">
        <v>49</v>
      </c>
      <c r="C111" s="3" t="s">
        <v>50</v>
      </c>
    </row>
    <row r="112" spans="1:45" x14ac:dyDescent="0.45">
      <c r="A112" s="53">
        <v>43862</v>
      </c>
      <c r="B112" s="6">
        <f>'Demand Input'!H17</f>
        <v>0</v>
      </c>
      <c r="C112" s="6">
        <f>'Demand Input'!D17</f>
        <v>0</v>
      </c>
      <c r="D112" s="4" t="e">
        <f>B112/C112</f>
        <v>#DIV/0!</v>
      </c>
      <c r="E112" s="4"/>
      <c r="F112" s="4"/>
      <c r="I112" s="4"/>
      <c r="L112" s="4"/>
      <c r="O112" s="4"/>
      <c r="R112" s="4"/>
      <c r="U112" s="4"/>
    </row>
    <row r="113" spans="1:45" x14ac:dyDescent="0.45">
      <c r="A113" s="53">
        <v>43891</v>
      </c>
      <c r="B113" s="6">
        <f>'Demand Input'!H18</f>
        <v>21965.02</v>
      </c>
      <c r="C113" s="6">
        <f>'Demand Input'!D18</f>
        <v>14013.78</v>
      </c>
      <c r="D113" s="4">
        <f t="shared" ref="D113:D119" si="22">B113/C113</f>
        <v>1.5673872431278355</v>
      </c>
      <c r="E113" s="4"/>
      <c r="F113" s="4"/>
      <c r="I113" s="4"/>
      <c r="L113" s="4"/>
      <c r="O113" s="4"/>
      <c r="R113" s="4"/>
      <c r="U113" s="4"/>
    </row>
    <row r="114" spans="1:45" x14ac:dyDescent="0.45">
      <c r="A114" s="53">
        <v>43922</v>
      </c>
      <c r="B114" s="6">
        <f>'Demand Input'!H19</f>
        <v>0</v>
      </c>
      <c r="C114" s="6">
        <f>'Demand Input'!D19</f>
        <v>0</v>
      </c>
      <c r="D114" s="4" t="e">
        <f t="shared" si="22"/>
        <v>#DIV/0!</v>
      </c>
      <c r="E114" s="4"/>
      <c r="F114" s="4"/>
      <c r="I114" s="4"/>
      <c r="L114" s="4"/>
      <c r="O114" s="4"/>
      <c r="R114" s="4"/>
      <c r="U114" s="4"/>
    </row>
    <row r="115" spans="1:45" x14ac:dyDescent="0.45">
      <c r="A115" s="53">
        <v>43952</v>
      </c>
      <c r="B115" s="6">
        <f>'Demand Input'!H20</f>
        <v>0</v>
      </c>
      <c r="C115" s="6">
        <f>'Demand Input'!D20</f>
        <v>0</v>
      </c>
      <c r="D115" s="4" t="e">
        <f t="shared" si="22"/>
        <v>#DIV/0!</v>
      </c>
      <c r="E115" s="4"/>
      <c r="F115" s="4"/>
      <c r="I115" s="4"/>
      <c r="L115" s="4"/>
      <c r="O115" s="4"/>
      <c r="R115" s="4"/>
      <c r="U115" s="4"/>
    </row>
    <row r="116" spans="1:45" x14ac:dyDescent="0.45">
      <c r="A116" s="53">
        <v>43983</v>
      </c>
      <c r="B116" s="6">
        <f>'Demand Input'!H21</f>
        <v>27331</v>
      </c>
      <c r="C116" s="6">
        <f>'Demand Input'!D21</f>
        <v>30443.599999999999</v>
      </c>
      <c r="D116" s="4">
        <f t="shared" si="22"/>
        <v>0.89775847797238173</v>
      </c>
      <c r="E116" s="4"/>
      <c r="F116" s="4"/>
      <c r="I116" s="4"/>
      <c r="L116" s="4"/>
      <c r="O116" s="4"/>
      <c r="R116" s="4"/>
      <c r="U116" s="4"/>
    </row>
    <row r="117" spans="1:45" x14ac:dyDescent="0.45">
      <c r="A117" s="53">
        <v>44013</v>
      </c>
      <c r="B117" s="6">
        <f>'Demand Input'!H22</f>
        <v>0</v>
      </c>
      <c r="C117" s="6">
        <f>'Demand Input'!D22</f>
        <v>0</v>
      </c>
      <c r="D117" s="4" t="e">
        <f t="shared" si="22"/>
        <v>#DIV/0!</v>
      </c>
      <c r="E117" s="4"/>
      <c r="F117" s="4"/>
      <c r="I117" s="4"/>
      <c r="L117" s="4"/>
      <c r="O117" s="4"/>
      <c r="R117" s="4"/>
      <c r="U117" s="4"/>
    </row>
    <row r="118" spans="1:45" x14ac:dyDescent="0.45">
      <c r="A118" s="53">
        <v>44044</v>
      </c>
      <c r="B118" s="6">
        <f>'Demand Input'!H23</f>
        <v>0</v>
      </c>
      <c r="C118" s="6">
        <f>'Demand Input'!D23</f>
        <v>0</v>
      </c>
      <c r="D118" s="4" t="e">
        <f t="shared" si="22"/>
        <v>#DIV/0!</v>
      </c>
      <c r="E118" s="4"/>
      <c r="F118" s="4"/>
      <c r="I118" s="4"/>
      <c r="L118" s="4"/>
      <c r="O118" s="4"/>
      <c r="R118" s="4"/>
      <c r="U118" s="4"/>
    </row>
    <row r="119" spans="1:45" x14ac:dyDescent="0.45">
      <c r="A119" s="53">
        <v>44075</v>
      </c>
      <c r="B119" s="6">
        <f>'Demand Input'!H24</f>
        <v>50400.24</v>
      </c>
      <c r="C119" s="6">
        <f>'Demand Input'!D24</f>
        <v>38376.14</v>
      </c>
      <c r="D119" s="4">
        <f t="shared" si="22"/>
        <v>1.3133222882759965</v>
      </c>
    </row>
    <row r="120" spans="1:45" s="9" customFormat="1" x14ac:dyDescent="0.45">
      <c r="A120" s="53">
        <v>44105</v>
      </c>
      <c r="B120" s="6">
        <f>'Demand Input'!H25</f>
        <v>0</v>
      </c>
      <c r="C120" s="6">
        <f>'Demand Input'!D25</f>
        <v>0</v>
      </c>
      <c r="D120" s="4" t="e">
        <f t="shared" ref="D120:D122" si="23">B120/C120</f>
        <v>#DIV/0!</v>
      </c>
      <c r="E120" s="5"/>
      <c r="F120" s="5"/>
      <c r="I120" s="5"/>
      <c r="L120" s="5"/>
      <c r="O120" s="5"/>
      <c r="R120" s="5"/>
      <c r="U120" s="5"/>
      <c r="X120" s="58"/>
      <c r="AA120" s="58"/>
      <c r="AD120" s="58"/>
      <c r="AG120" s="58"/>
      <c r="AJ120" s="58"/>
      <c r="AM120" s="58"/>
      <c r="AP120" s="58"/>
      <c r="AS120" s="58"/>
    </row>
    <row r="121" spans="1:45" s="9" customFormat="1" x14ac:dyDescent="0.45">
      <c r="A121" s="53">
        <v>44136</v>
      </c>
      <c r="B121" s="6">
        <f>'Demand Input'!H26</f>
        <v>0</v>
      </c>
      <c r="C121" s="6">
        <f>'Demand Input'!D26</f>
        <v>0</v>
      </c>
      <c r="D121" s="4" t="e">
        <f t="shared" si="23"/>
        <v>#DIV/0!</v>
      </c>
      <c r="E121" s="5"/>
      <c r="F121" s="5"/>
      <c r="I121" s="5"/>
      <c r="L121" s="5"/>
      <c r="O121" s="5"/>
      <c r="R121" s="5"/>
      <c r="U121" s="5"/>
      <c r="X121" s="58"/>
      <c r="AA121" s="58"/>
      <c r="AD121" s="58"/>
      <c r="AG121" s="58"/>
      <c r="AJ121" s="58"/>
      <c r="AM121" s="58"/>
      <c r="AP121" s="58"/>
      <c r="AS121" s="58"/>
    </row>
    <row r="122" spans="1:45" s="9" customFormat="1" x14ac:dyDescent="0.45">
      <c r="A122" s="53">
        <v>44166</v>
      </c>
      <c r="B122" s="6">
        <f>'Demand Input'!H27</f>
        <v>30611.9</v>
      </c>
      <c r="C122" s="6">
        <f>'Demand Input'!D27</f>
        <v>24784.98</v>
      </c>
      <c r="D122" s="4">
        <f t="shared" si="23"/>
        <v>1.2350988380866155</v>
      </c>
      <c r="E122" s="5"/>
      <c r="F122" s="5"/>
      <c r="I122" s="5"/>
      <c r="L122" s="5"/>
      <c r="O122" s="5"/>
      <c r="R122" s="5"/>
      <c r="U122" s="5"/>
      <c r="X122" s="58"/>
      <c r="AA122" s="58"/>
      <c r="AD122" s="58"/>
      <c r="AG122" s="58"/>
      <c r="AJ122" s="58"/>
      <c r="AM122" s="58"/>
      <c r="AP122" s="58"/>
      <c r="AS122" s="58"/>
    </row>
    <row r="123" spans="1:45" x14ac:dyDescent="0.45">
      <c r="A123" s="53">
        <v>44197</v>
      </c>
      <c r="B123" s="6">
        <f>'Demand Input'!H28</f>
        <v>0</v>
      </c>
      <c r="C123" s="6">
        <f>'Demand Input'!D28</f>
        <v>0</v>
      </c>
      <c r="D123" s="4" t="e">
        <f t="shared" ref="D123" si="24">B123/C123</f>
        <v>#DIV/0!</v>
      </c>
    </row>
    <row r="124" spans="1:45" x14ac:dyDescent="0.45">
      <c r="A124" s="53">
        <v>44228</v>
      </c>
      <c r="B124" s="6">
        <f>'Demand Input'!H29</f>
        <v>0</v>
      </c>
      <c r="C124" s="6">
        <f>'Demand Input'!D29</f>
        <v>0</v>
      </c>
      <c r="D124" s="4" t="e">
        <f t="shared" ref="D124:D125" si="25">B124/C124</f>
        <v>#DIV/0!</v>
      </c>
    </row>
    <row r="125" spans="1:45" x14ac:dyDescent="0.45">
      <c r="A125" s="53">
        <v>44256</v>
      </c>
      <c r="B125" s="6">
        <f>'Demand Input'!H30</f>
        <v>30196.76</v>
      </c>
      <c r="C125" s="6">
        <f>'Demand Input'!D30</f>
        <v>21965.02</v>
      </c>
      <c r="D125" s="4">
        <f t="shared" si="25"/>
        <v>1.3747658777456155</v>
      </c>
    </row>
    <row r="126" spans="1:45" x14ac:dyDescent="0.45">
      <c r="A126" s="53">
        <v>44287</v>
      </c>
      <c r="B126" s="6">
        <f>'Demand Input'!H31</f>
        <v>0</v>
      </c>
      <c r="C126" s="6">
        <f>'Demand Input'!D31</f>
        <v>0</v>
      </c>
      <c r="D126" s="4" t="e">
        <f t="shared" ref="D126" si="26">B126/C126</f>
        <v>#DIV/0!</v>
      </c>
    </row>
    <row r="127" spans="1:45" x14ac:dyDescent="0.45">
      <c r="A127" t="s">
        <v>53</v>
      </c>
      <c r="B127" s="6">
        <f>'Demand Input'!H32</f>
        <v>0</v>
      </c>
      <c r="C127" s="6">
        <f>'Demand Input'!D32</f>
        <v>0</v>
      </c>
      <c r="D127" s="4" t="e">
        <f t="shared" ref="D127:D128" si="27">B127/C127</f>
        <v>#DIV/0!</v>
      </c>
    </row>
    <row r="128" spans="1:45" x14ac:dyDescent="0.45">
      <c r="A128" t="s">
        <v>54</v>
      </c>
      <c r="B128" s="6">
        <f>'Demand Input'!H33</f>
        <v>0</v>
      </c>
      <c r="C128" s="6">
        <f>'Demand Input'!D33</f>
        <v>0</v>
      </c>
      <c r="D128" s="4" t="e">
        <f t="shared" si="27"/>
        <v>#DIV/0!</v>
      </c>
    </row>
  </sheetData>
  <mergeCells count="36">
    <mergeCell ref="AT28:AU28"/>
    <mergeCell ref="AT34:AU34"/>
    <mergeCell ref="B2:AI2"/>
    <mergeCell ref="Y28:Z28"/>
    <mergeCell ref="Y34:Z34"/>
    <mergeCell ref="AB28:AC28"/>
    <mergeCell ref="AB34:AC34"/>
    <mergeCell ref="P34:Q34"/>
    <mergeCell ref="S34:T34"/>
    <mergeCell ref="D28:E28"/>
    <mergeCell ref="G28:H28"/>
    <mergeCell ref="J28:K28"/>
    <mergeCell ref="M28:N28"/>
    <mergeCell ref="P28:Q28"/>
    <mergeCell ref="AE28:AF28"/>
    <mergeCell ref="AE34:AF34"/>
    <mergeCell ref="S28:T28"/>
    <mergeCell ref="V28:W28"/>
    <mergeCell ref="AH28:AI28"/>
    <mergeCell ref="AH34:AI34"/>
    <mergeCell ref="AW34:AX34"/>
    <mergeCell ref="AW28:AX28"/>
    <mergeCell ref="B1:AX1"/>
    <mergeCell ref="B36:AX36"/>
    <mergeCell ref="A48:E48"/>
    <mergeCell ref="V34:W34"/>
    <mergeCell ref="D34:E34"/>
    <mergeCell ref="G34:H34"/>
    <mergeCell ref="J34:K34"/>
    <mergeCell ref="M34:N34"/>
    <mergeCell ref="AQ28:AR28"/>
    <mergeCell ref="AQ34:AR34"/>
    <mergeCell ref="AN28:AO28"/>
    <mergeCell ref="AN34:AO34"/>
    <mergeCell ref="AK28:AL28"/>
    <mergeCell ref="AK34:AL34"/>
  </mergeCells>
  <phoneticPr fontId="19" type="noConversion"/>
  <pageMargins left="0.25" right="0.25" top="0.75" bottom="0.75" header="0.3" footer="0.3"/>
  <pageSetup scale="38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64"/>
  <sheetViews>
    <sheetView showGridLines="0" topLeftCell="A31" zoomScaleNormal="100" workbookViewId="0">
      <selection activeCell="D56" sqref="D56"/>
    </sheetView>
  </sheetViews>
  <sheetFormatPr defaultColWidth="9.1328125" defaultRowHeight="14.25" x14ac:dyDescent="0.45"/>
  <cols>
    <col min="1" max="1" width="11.86328125" style="8" customWidth="1"/>
    <col min="2" max="2" width="26.86328125" style="8" customWidth="1"/>
    <col min="3" max="4" width="18.265625" style="8" customWidth="1"/>
    <col min="5" max="5" width="1.86328125" style="8" customWidth="1"/>
    <col min="6" max="8" width="18.265625" style="8" customWidth="1"/>
    <col min="9" max="9" width="9.1328125" style="8"/>
    <col min="10" max="10" width="10" style="8" bestFit="1" customWidth="1"/>
    <col min="11" max="11" width="12" style="8" bestFit="1" customWidth="1"/>
    <col min="12" max="16" width="9.1328125" style="8"/>
    <col min="17" max="17" width="11.86328125" style="8" bestFit="1" customWidth="1"/>
    <col min="18" max="18" width="14.265625" style="8" bestFit="1" customWidth="1"/>
    <col min="19" max="16384" width="9.1328125" style="8"/>
  </cols>
  <sheetData>
    <row r="1" spans="1:71" ht="15" customHeight="1" x14ac:dyDescent="0.45">
      <c r="A1" s="75" t="s">
        <v>10</v>
      </c>
      <c r="B1" s="76"/>
      <c r="C1" s="76"/>
      <c r="D1" s="76"/>
      <c r="E1" s="76"/>
      <c r="F1" s="76"/>
      <c r="G1" s="76"/>
      <c r="H1" s="7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45">
      <c r="A2" s="76"/>
      <c r="B2" s="76"/>
      <c r="C2" s="76"/>
      <c r="D2" s="76"/>
      <c r="E2" s="76"/>
      <c r="F2" s="76"/>
      <c r="G2" s="76"/>
      <c r="H2" s="7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45">
      <c r="A3" s="76"/>
      <c r="B3" s="76"/>
      <c r="C3" s="76"/>
      <c r="D3" s="76"/>
      <c r="E3" s="76"/>
      <c r="F3" s="76"/>
      <c r="G3" s="76"/>
      <c r="H3" s="76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45">
      <c r="A4" s="76"/>
      <c r="B4" s="76"/>
      <c r="C4" s="76"/>
      <c r="D4" s="76"/>
      <c r="E4" s="76"/>
      <c r="F4" s="76"/>
      <c r="G4" s="76"/>
      <c r="H4" s="76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33" customHeight="1" x14ac:dyDescent="0.45">
      <c r="A5" s="79" t="str">
        <f>C7</f>
        <v>Kent County Water Authority</v>
      </c>
      <c r="B5" s="79"/>
      <c r="C5" s="79"/>
      <c r="D5" s="79"/>
      <c r="E5" s="79"/>
      <c r="F5" s="79"/>
      <c r="G5" s="79"/>
      <c r="H5" s="79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25.5" x14ac:dyDescent="0.75">
      <c r="A6" s="80" t="s">
        <v>39</v>
      </c>
      <c r="B6" s="80"/>
      <c r="C6" s="80"/>
      <c r="D6" s="80"/>
      <c r="E6" s="80"/>
      <c r="F6" s="80"/>
      <c r="G6" s="80"/>
      <c r="H6" s="8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customHeight="1" x14ac:dyDescent="0.45">
      <c r="A7" s="32"/>
      <c r="B7" s="33" t="s">
        <v>8</v>
      </c>
      <c r="C7" s="71" t="s">
        <v>36</v>
      </c>
      <c r="D7" s="71"/>
      <c r="E7" s="71"/>
      <c r="F7" s="71"/>
      <c r="G7" s="32"/>
      <c r="H7" s="3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45">
      <c r="A8" s="32"/>
      <c r="B8" s="33" t="s">
        <v>6</v>
      </c>
      <c r="C8" s="71" t="s">
        <v>33</v>
      </c>
      <c r="D8" s="71"/>
      <c r="E8" s="71"/>
      <c r="F8" s="71"/>
      <c r="G8" s="32"/>
      <c r="H8" s="32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45">
      <c r="A9" s="32"/>
      <c r="B9" s="33" t="s">
        <v>37</v>
      </c>
      <c r="C9" s="71" t="s">
        <v>32</v>
      </c>
      <c r="D9" s="71"/>
      <c r="E9" s="71"/>
      <c r="F9" s="71"/>
      <c r="G9" s="32"/>
      <c r="H9" s="3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6.75" customHeight="1" x14ac:dyDescent="0.45">
      <c r="A10" s="32"/>
      <c r="B10" s="32"/>
      <c r="C10" s="32"/>
      <c r="D10" s="32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2.25" customHeight="1" x14ac:dyDescent="0.45">
      <c r="A11" s="34"/>
      <c r="B11" s="74"/>
      <c r="C11" s="74"/>
      <c r="D11" s="74"/>
      <c r="E11" s="74"/>
      <c r="F11" s="74"/>
      <c r="G11" s="74"/>
      <c r="H11" s="74"/>
      <c r="I11" s="28"/>
      <c r="J11" s="28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6.75" customHeight="1" x14ac:dyDescent="0.45">
      <c r="A12" s="32"/>
      <c r="B12" s="32"/>
      <c r="C12" s="32"/>
      <c r="D12" s="32"/>
      <c r="E12" s="32"/>
      <c r="F12" s="32"/>
      <c r="G12" s="32"/>
      <c r="H12" s="3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23.25" x14ac:dyDescent="0.7">
      <c r="A13" s="35"/>
      <c r="B13" s="77" t="str">
        <f>"Input Customer Demand ("&amp;C8&amp;")"</f>
        <v>Input Customer Demand (Kgal)</v>
      </c>
      <c r="C13" s="77"/>
      <c r="D13" s="77"/>
      <c r="E13" s="77"/>
      <c r="F13" s="77"/>
      <c r="G13" s="77"/>
      <c r="H13" s="77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x14ac:dyDescent="0.45">
      <c r="A14" s="35"/>
      <c r="B14" s="72" t="s">
        <v>7</v>
      </c>
      <c r="C14" s="72"/>
      <c r="D14" s="72"/>
      <c r="E14" s="72"/>
      <c r="F14" s="72"/>
      <c r="G14" s="72"/>
      <c r="H14" s="72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45">
      <c r="A15" s="34"/>
      <c r="B15" s="78" t="s">
        <v>45</v>
      </c>
      <c r="C15" s="78"/>
      <c r="D15" s="78"/>
      <c r="E15" s="34"/>
      <c r="F15" s="78" t="s">
        <v>46</v>
      </c>
      <c r="G15" s="78"/>
      <c r="H15" s="78"/>
      <c r="I15" s="28"/>
      <c r="J15" s="2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45">
      <c r="A16" s="36" t="s">
        <v>0</v>
      </c>
      <c r="B16" s="18" t="s">
        <v>1</v>
      </c>
      <c r="C16" s="18" t="s">
        <v>2</v>
      </c>
      <c r="D16" s="18" t="s">
        <v>3</v>
      </c>
      <c r="E16" s="17"/>
      <c r="F16" s="18" t="s">
        <v>1</v>
      </c>
      <c r="G16" s="18" t="s">
        <v>2</v>
      </c>
      <c r="H16" s="18" t="s">
        <v>3</v>
      </c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45">
      <c r="A17" s="53">
        <v>43862</v>
      </c>
      <c r="B17" s="21">
        <f>(14840904*7.48)/1000</f>
        <v>111009.96192</v>
      </c>
      <c r="C17" s="21">
        <f>(3327768*7.48)/1000</f>
        <v>24891.70464</v>
      </c>
      <c r="D17" s="21"/>
      <c r="E17" s="22"/>
      <c r="F17" s="21">
        <f>(13931046*7.48)/1000</f>
        <v>104204.22408000001</v>
      </c>
      <c r="G17" s="21">
        <f>(3634263*7.48)/1000</f>
        <v>27184.287240000001</v>
      </c>
      <c r="H17" s="21"/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45">
      <c r="A18" s="53">
        <v>43891</v>
      </c>
      <c r="B18" s="21">
        <f>(16514055*7.48)/1000</f>
        <v>123525.13140000001</v>
      </c>
      <c r="C18" s="21">
        <f>(7544224*7.48)/1000-14014</f>
        <v>42416.79552</v>
      </c>
      <c r="D18" s="21">
        <f>14013780/1000</f>
        <v>14013.78</v>
      </c>
      <c r="E18" s="22"/>
      <c r="F18" s="21">
        <f>(15599932*7.48)/1000</f>
        <v>116687.49136</v>
      </c>
      <c r="G18" s="21">
        <f>(7026308*7.48)/1000</f>
        <v>52556.783840000004</v>
      </c>
      <c r="H18" s="21">
        <f>21965020/1000</f>
        <v>21965.02</v>
      </c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45">
      <c r="A19" s="53">
        <v>43922</v>
      </c>
      <c r="B19" s="21">
        <f>(15141549*7.48)/1000</f>
        <v>113258.78652000001</v>
      </c>
      <c r="C19" s="21">
        <f>(4468968*7.48)/1000</f>
        <v>33427.880640000003</v>
      </c>
      <c r="D19" s="21"/>
      <c r="E19" s="22"/>
      <c r="F19" s="21">
        <f>(14652268*7.48)/1000</f>
        <v>109598.96464000001</v>
      </c>
      <c r="G19" s="21">
        <f>(4011843*7.48)/1000</f>
        <v>30008.585640000001</v>
      </c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45">
      <c r="A20" s="53">
        <v>43952</v>
      </c>
      <c r="B20" s="21">
        <f>(14321932*7.48)/1000</f>
        <v>107128.05136</v>
      </c>
      <c r="C20" s="21">
        <f>(3509953*7.48)/1000</f>
        <v>26254.44844</v>
      </c>
      <c r="D20" s="21"/>
      <c r="E20" s="22"/>
      <c r="F20" s="21">
        <f>(14659895*7.48)/1000</f>
        <v>109656.01460000001</v>
      </c>
      <c r="G20" s="21">
        <f>(2868915*7.48)/1000</f>
        <v>21459.484200000003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45">
      <c r="A21" s="53">
        <v>43983</v>
      </c>
      <c r="B21" s="21">
        <f>(19375729*7.48)/1000</f>
        <v>144930.45292000001</v>
      </c>
      <c r="C21" s="21">
        <f>(8515090*7.48)/1000-30444</f>
        <v>33248.873200000002</v>
      </c>
      <c r="D21" s="21">
        <f>30443600/1000</f>
        <v>30443.599999999999</v>
      </c>
      <c r="E21" s="22"/>
      <c r="F21" s="21">
        <f>(20681315*7.48)/1000</f>
        <v>154696.23620000001</v>
      </c>
      <c r="G21" s="21">
        <f>(6375321*7.48)/1000</f>
        <v>47687.401080000003</v>
      </c>
      <c r="H21" s="21">
        <f>27331000/1000</f>
        <v>27331</v>
      </c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45">
      <c r="A22" s="53">
        <v>44013</v>
      </c>
      <c r="B22" s="21">
        <f>(20190911*7.48)/1000</f>
        <v>151028.01428</v>
      </c>
      <c r="C22" s="21">
        <f>(5705874*7.48)/1000</f>
        <v>42679.937520000007</v>
      </c>
      <c r="D22" s="21"/>
      <c r="E22" s="22"/>
      <c r="F22" s="21">
        <f>(21375582*7.48)/1000</f>
        <v>159889.35336000001</v>
      </c>
      <c r="G22" s="21">
        <f>(4505708*7.48)/1000</f>
        <v>33702.69584</v>
      </c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45">
      <c r="A23" s="53">
        <v>44044</v>
      </c>
      <c r="B23" s="21">
        <f>(19226783*7.48)/1000</f>
        <v>143816.33684</v>
      </c>
      <c r="C23" s="21">
        <f>(4550334*7.48)/1000</f>
        <v>34036.498319999999</v>
      </c>
      <c r="D23" s="21"/>
      <c r="E23" s="22"/>
      <c r="F23" s="21">
        <f>(21392244*7.48)/1000</f>
        <v>160013.98512</v>
      </c>
      <c r="G23" s="21">
        <f>(4095022*7.48)/1000</f>
        <v>30630.764560000003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45">
      <c r="A24" s="53">
        <v>44075</v>
      </c>
      <c r="B24" s="21">
        <f>(34840569*7.48)/1000</f>
        <v>260607.45612000002</v>
      </c>
      <c r="C24" s="21">
        <f>(11546494*7.48)/1000</f>
        <v>86367.775120000006</v>
      </c>
      <c r="D24" s="21">
        <f>38376140/1000</f>
        <v>38376.14</v>
      </c>
      <c r="E24" s="22"/>
      <c r="F24" s="21">
        <f>(45186583*7.48)/1000</f>
        <v>337995.64084000001</v>
      </c>
      <c r="G24" s="21">
        <f>(11756680*7.48)/1000</f>
        <v>87939.966400000005</v>
      </c>
      <c r="H24" s="21">
        <f>50400240/1000</f>
        <v>50400.24</v>
      </c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45">
      <c r="A25" s="53">
        <v>44105</v>
      </c>
      <c r="B25" s="21">
        <f>(23208739*7.48)/1000</f>
        <v>173601.36772000001</v>
      </c>
      <c r="C25" s="21">
        <f>(6625903*7.48)/1000</f>
        <v>49561.754440000004</v>
      </c>
      <c r="D25" s="21"/>
      <c r="E25" s="22"/>
      <c r="F25" s="21">
        <f>(32493193*7.48)/1000</f>
        <v>243049.08364000003</v>
      </c>
      <c r="G25" s="21">
        <f>(6820541*7.48)/1000</f>
        <v>51017.646679999998</v>
      </c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45">
      <c r="A26" s="53">
        <v>44136</v>
      </c>
      <c r="B26" s="21">
        <f>(17539951*7.48)/1000</f>
        <v>131198.83348</v>
      </c>
      <c r="C26" s="21">
        <f>(4313024*7.48)/1000</f>
        <v>32261.419520000003</v>
      </c>
      <c r="D26" s="21"/>
      <c r="E26" s="22"/>
      <c r="F26" s="21">
        <f>(21681225*7.48)/1000</f>
        <v>162175.56299999999</v>
      </c>
      <c r="G26" s="21">
        <f>(5092279*7.48)/1000</f>
        <v>38090.246920000005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45">
      <c r="A27" s="53">
        <v>44166</v>
      </c>
      <c r="B27" s="21">
        <f>(22811415*7.48)/1000</f>
        <v>170629.38420000003</v>
      </c>
      <c r="C27" s="21">
        <f>(8845571*7.48)/1000</f>
        <v>66164.871080000012</v>
      </c>
      <c r="D27" s="21">
        <f>24784980/1000</f>
        <v>24784.98</v>
      </c>
      <c r="E27" s="22"/>
      <c r="F27" s="21">
        <f>(27772447*7.48)/1000</f>
        <v>207737.90356000001</v>
      </c>
      <c r="G27" s="21">
        <f>(9652649*7.48)/1000</f>
        <v>72201.814520000014</v>
      </c>
      <c r="H27" s="21">
        <f>30611900/1000</f>
        <v>30611.9</v>
      </c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45">
      <c r="A28" s="53">
        <v>44197</v>
      </c>
      <c r="B28" s="21">
        <f>(15761982*7.48)/1000</f>
        <v>117899.62536000001</v>
      </c>
      <c r="C28" s="21">
        <f>(5194117*7.48)/1000</f>
        <v>38851.995160000006</v>
      </c>
      <c r="D28" s="21"/>
      <c r="E28" s="22"/>
      <c r="F28" s="21">
        <f>(16681791*7.48)/1000</f>
        <v>124779.79668000001</v>
      </c>
      <c r="G28" s="21">
        <f>(4364345*7.48)/1000</f>
        <v>32645.300600000002</v>
      </c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45">
      <c r="A29" s="53">
        <v>44228</v>
      </c>
      <c r="B29" s="21">
        <f>(13931046*7.48)/1000</f>
        <v>104204.22408000001</v>
      </c>
      <c r="C29" s="21">
        <f>(3634263*7.48)/1000</f>
        <v>27184.287240000001</v>
      </c>
      <c r="D29" s="21"/>
      <c r="E29" s="22"/>
      <c r="F29" s="21">
        <f>(16649497*7.48)/1000</f>
        <v>124538.23756000001</v>
      </c>
      <c r="G29" s="21">
        <f>(4410114*7.48)/1000</f>
        <v>32987.652720000006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45">
      <c r="A30" s="53">
        <v>44256</v>
      </c>
      <c r="B30" s="21">
        <f>(15599932*7.48)/1000</f>
        <v>116687.49136</v>
      </c>
      <c r="C30" s="21">
        <f>(7026308*7.48)/1000</f>
        <v>52556.783840000004</v>
      </c>
      <c r="D30" s="21">
        <f>21965020/1000</f>
        <v>21965.02</v>
      </c>
      <c r="E30" s="22"/>
      <c r="F30" s="21">
        <f>(19319537*7.48)/1000</f>
        <v>144510.13676000002</v>
      </c>
      <c r="G30" s="21">
        <f>(4986121*7.48)/1000</f>
        <v>37296.185080000003</v>
      </c>
      <c r="H30" s="21">
        <f>30196760/1000</f>
        <v>30196.76</v>
      </c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45">
      <c r="A31" s="53">
        <v>44287</v>
      </c>
      <c r="B31" s="21">
        <f>(14652268*7.48)/1000</f>
        <v>109598.96464000001</v>
      </c>
      <c r="C31" s="21">
        <f>(4011843*7.48)/1000</f>
        <v>30008.585640000001</v>
      </c>
      <c r="D31" s="21"/>
      <c r="E31" s="22"/>
      <c r="F31" s="21">
        <f>(18244090-5501600)*7.48/1000</f>
        <v>95313.825200000007</v>
      </c>
      <c r="G31" s="21">
        <f>(7083368*7.48)/1000</f>
        <v>52983.592640000003</v>
      </c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45">
      <c r="A32" s="53" t="s">
        <v>53</v>
      </c>
      <c r="B32" s="21">
        <f>(14659895*7.48)/1000</f>
        <v>109656.01460000001</v>
      </c>
      <c r="C32" s="21">
        <f>(2868915*7.48)/1000</f>
        <v>21459.484200000003</v>
      </c>
      <c r="D32" s="21"/>
      <c r="E32" s="22"/>
      <c r="F32" s="21">
        <f>(14207475*7.48)/1000</f>
        <v>106271.913</v>
      </c>
      <c r="G32" s="21">
        <f>(4098628*7.48)/1000</f>
        <v>30657.737440000001</v>
      </c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x14ac:dyDescent="0.45">
      <c r="A33" s="53" t="s">
        <v>54</v>
      </c>
      <c r="B33" s="21"/>
      <c r="C33" s="21"/>
      <c r="D33" s="21"/>
      <c r="E33" s="22"/>
      <c r="F33" s="21"/>
      <c r="G33" s="21"/>
      <c r="H33" s="21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ht="6.75" customHeight="1" x14ac:dyDescent="0.45">
      <c r="A34" s="3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ht="2.25" customHeight="1" x14ac:dyDescent="0.45">
      <c r="A35" s="34"/>
      <c r="B35" s="73"/>
      <c r="C35" s="73"/>
      <c r="D35" s="73"/>
      <c r="E35" s="73"/>
      <c r="F35" s="73"/>
      <c r="G35" s="73"/>
      <c r="H35" s="73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ht="6.75" customHeight="1" x14ac:dyDescent="0.45">
      <c r="A36" s="3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ht="23.25" x14ac:dyDescent="0.7">
      <c r="A37" s="35"/>
      <c r="B37" s="77" t="str">
        <f>"Input Water Produced ("&amp;C9&amp;")"</f>
        <v>Input Water Produced (MG)</v>
      </c>
      <c r="C37" s="77"/>
      <c r="D37" s="77"/>
      <c r="E37" s="77"/>
      <c r="F37" s="77"/>
      <c r="G37" s="77"/>
      <c r="H37" s="77"/>
      <c r="I37" s="30"/>
      <c r="J37" s="30"/>
      <c r="K37" s="30"/>
      <c r="L37" s="30"/>
      <c r="M37" s="30"/>
      <c r="N37" s="30"/>
      <c r="O37" s="30"/>
      <c r="P37" s="30"/>
      <c r="Q37" s="47"/>
      <c r="R37" s="47"/>
      <c r="S37" s="5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x14ac:dyDescent="0.45">
      <c r="A38" s="35"/>
      <c r="B38" s="72" t="s">
        <v>9</v>
      </c>
      <c r="C38" s="72"/>
      <c r="D38" s="72"/>
      <c r="E38" s="72"/>
      <c r="F38" s="72"/>
      <c r="G38" s="72"/>
      <c r="H38" s="72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ht="23.25" x14ac:dyDescent="0.7">
      <c r="A39" s="35"/>
      <c r="B39" s="32"/>
      <c r="C39" s="36" t="s">
        <v>0</v>
      </c>
      <c r="D39" s="37" t="s">
        <v>45</v>
      </c>
      <c r="E39" s="38"/>
      <c r="F39" s="37" t="s">
        <v>46</v>
      </c>
      <c r="G39" s="30"/>
      <c r="H39" s="37" t="s">
        <v>48</v>
      </c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x14ac:dyDescent="0.45">
      <c r="A40" s="35"/>
      <c r="B40" s="32"/>
      <c r="C40" s="53">
        <v>43862</v>
      </c>
      <c r="D40" s="44">
        <v>173.84700000000001</v>
      </c>
      <c r="E40" s="45"/>
      <c r="F40" s="44">
        <v>167.53200000000001</v>
      </c>
      <c r="G40" s="30"/>
      <c r="H40" s="52">
        <f t="shared" ref="H40:H53" si="0">(F40-D40)/D40</f>
        <v>-3.6325044435624412E-2</v>
      </c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x14ac:dyDescent="0.45">
      <c r="A41" s="35"/>
      <c r="B41" s="32"/>
      <c r="C41" s="53">
        <v>43891</v>
      </c>
      <c r="D41" s="44">
        <v>195.333</v>
      </c>
      <c r="E41" s="45"/>
      <c r="F41" s="44">
        <v>190.30600000000001</v>
      </c>
      <c r="G41" s="30"/>
      <c r="H41" s="52">
        <f t="shared" si="0"/>
        <v>-2.573553879784771E-2</v>
      </c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x14ac:dyDescent="0.45">
      <c r="A42" s="35"/>
      <c r="B42" s="32"/>
      <c r="C42" s="53">
        <v>43922</v>
      </c>
      <c r="D42" s="44">
        <v>193.55099999999999</v>
      </c>
      <c r="E42" s="45"/>
      <c r="F42" s="44">
        <v>178.22</v>
      </c>
      <c r="G42" s="30"/>
      <c r="H42" s="52">
        <f t="shared" si="0"/>
        <v>-7.9209097343852466E-2</v>
      </c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x14ac:dyDescent="0.45">
      <c r="A43" s="35"/>
      <c r="B43" s="32"/>
      <c r="C43" s="53">
        <v>43952</v>
      </c>
      <c r="D43" s="44">
        <v>228.09100000000001</v>
      </c>
      <c r="E43" s="45"/>
      <c r="F43" s="44">
        <v>240.625</v>
      </c>
      <c r="G43" s="30"/>
      <c r="H43" s="52">
        <f t="shared" si="0"/>
        <v>5.4951751713132005E-2</v>
      </c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45">
      <c r="A44" s="35"/>
      <c r="B44" s="32"/>
      <c r="C44" s="53">
        <v>43983</v>
      </c>
      <c r="D44" s="20">
        <v>257.89999999999998</v>
      </c>
      <c r="E44" s="39"/>
      <c r="F44" s="20">
        <v>348.57</v>
      </c>
      <c r="G44" s="30"/>
      <c r="H44" s="52">
        <f t="shared" si="0"/>
        <v>0.35157037611477326</v>
      </c>
      <c r="I44" s="28"/>
      <c r="J44" s="28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x14ac:dyDescent="0.45">
      <c r="A45" s="35"/>
      <c r="B45" s="32"/>
      <c r="C45" s="53">
        <v>44013</v>
      </c>
      <c r="D45" s="20">
        <v>333.37</v>
      </c>
      <c r="E45" s="39"/>
      <c r="F45" s="20">
        <v>381.34</v>
      </c>
      <c r="G45" s="30"/>
      <c r="H45" s="52">
        <f t="shared" si="0"/>
        <v>0.14389417164111939</v>
      </c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45">
      <c r="A46" s="35"/>
      <c r="B46" s="32"/>
      <c r="C46" s="53">
        <v>44044</v>
      </c>
      <c r="D46" s="44">
        <v>323.49</v>
      </c>
      <c r="E46" s="45"/>
      <c r="F46" s="44">
        <v>370.12</v>
      </c>
      <c r="G46" s="30"/>
      <c r="H46" s="52">
        <f t="shared" si="0"/>
        <v>0.14414665059198117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45">
      <c r="A47" s="35"/>
      <c r="B47" s="32"/>
      <c r="C47" s="53">
        <v>44075</v>
      </c>
      <c r="D47" s="44">
        <v>282.52999999999997</v>
      </c>
      <c r="E47" s="45"/>
      <c r="F47" s="44">
        <v>320.39</v>
      </c>
      <c r="G47" s="30"/>
      <c r="H47" s="52">
        <f t="shared" si="0"/>
        <v>0.13400346865819565</v>
      </c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45">
      <c r="A48" s="35"/>
      <c r="B48" s="32"/>
      <c r="C48" s="53">
        <v>44105</v>
      </c>
      <c r="D48" s="44">
        <v>208.72</v>
      </c>
      <c r="E48" s="45"/>
      <c r="F48" s="44">
        <v>233.34</v>
      </c>
      <c r="G48" s="30"/>
      <c r="H48" s="52">
        <f t="shared" si="0"/>
        <v>0.11795707167497127</v>
      </c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45">
      <c r="A49" s="35"/>
      <c r="B49" s="32"/>
      <c r="C49" s="53">
        <v>44136</v>
      </c>
      <c r="D49" s="44">
        <v>193.92</v>
      </c>
      <c r="E49" s="45"/>
      <c r="F49" s="44">
        <v>187.14</v>
      </c>
      <c r="G49" s="30"/>
      <c r="H49" s="52">
        <f t="shared" si="0"/>
        <v>-3.4962871287128723E-2</v>
      </c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45">
      <c r="A50" s="35"/>
      <c r="B50" s="32"/>
      <c r="C50" s="53">
        <v>44166</v>
      </c>
      <c r="D50" s="44">
        <v>188.86</v>
      </c>
      <c r="E50" s="45"/>
      <c r="F50" s="44">
        <v>182.02</v>
      </c>
      <c r="G50" s="30"/>
      <c r="H50" s="52">
        <f t="shared" si="0"/>
        <v>-3.6217303822937641E-2</v>
      </c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45">
      <c r="A51" s="35"/>
      <c r="B51" s="32"/>
      <c r="C51" s="53">
        <v>44197</v>
      </c>
      <c r="D51" s="44">
        <v>189.94</v>
      </c>
      <c r="E51" s="45"/>
      <c r="F51" s="44">
        <v>189.96</v>
      </c>
      <c r="G51" s="30"/>
      <c r="H51" s="52">
        <f t="shared" si="0"/>
        <v>1.0529640939249358E-4</v>
      </c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45">
      <c r="A52" s="35"/>
      <c r="B52" s="32"/>
      <c r="C52" s="53">
        <v>44228</v>
      </c>
      <c r="D52" s="44">
        <v>173.75</v>
      </c>
      <c r="E52" s="45"/>
      <c r="F52" s="44">
        <v>178.97</v>
      </c>
      <c r="G52" s="30"/>
      <c r="H52" s="52">
        <f t="shared" si="0"/>
        <v>3.0043165467625893E-2</v>
      </c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45">
      <c r="A53" s="35"/>
      <c r="B53" s="32"/>
      <c r="C53" s="53">
        <v>44256</v>
      </c>
      <c r="D53" s="44">
        <v>190.77</v>
      </c>
      <c r="E53" s="45"/>
      <c r="F53" s="44">
        <v>195.96</v>
      </c>
      <c r="G53" s="30"/>
      <c r="H53" s="52">
        <f t="shared" si="0"/>
        <v>2.7205535461550544E-2</v>
      </c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45">
      <c r="A54" s="35"/>
      <c r="B54" s="32"/>
      <c r="C54" s="53">
        <v>44287</v>
      </c>
      <c r="D54" s="44">
        <v>184.23</v>
      </c>
      <c r="E54" s="45"/>
      <c r="F54" s="44">
        <v>203.05</v>
      </c>
      <c r="G54" s="30"/>
      <c r="H54" s="52">
        <f t="shared" ref="H54:H57" si="1">(F54-D54)/D54</f>
        <v>0.10215491505183751</v>
      </c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45">
      <c r="A55" s="35"/>
      <c r="B55" s="32"/>
      <c r="C55" s="53" t="s">
        <v>53</v>
      </c>
      <c r="D55" s="44">
        <v>240.63</v>
      </c>
      <c r="E55" s="45"/>
      <c r="F55" s="44">
        <v>280.19</v>
      </c>
      <c r="G55" s="30"/>
      <c r="H55" s="52">
        <f t="shared" si="1"/>
        <v>0.16440177866433944</v>
      </c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45">
      <c r="A56" s="35"/>
      <c r="B56" s="32"/>
      <c r="C56" s="53" t="s">
        <v>54</v>
      </c>
      <c r="D56" s="44"/>
      <c r="E56" s="45"/>
      <c r="F56" s="44"/>
      <c r="G56" s="30"/>
      <c r="H56" s="52" t="e">
        <f t="shared" si="1"/>
        <v>#DIV/0!</v>
      </c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45">
      <c r="A57" s="35"/>
      <c r="B57" s="32"/>
      <c r="C57" s="53"/>
      <c r="D57" s="20"/>
      <c r="E57" s="39"/>
      <c r="F57" s="20"/>
      <c r="G57" s="30"/>
      <c r="H57" s="52" t="e">
        <f t="shared" si="1"/>
        <v>#DIV/0!</v>
      </c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45">
      <c r="A58" s="35"/>
      <c r="B58" s="32"/>
      <c r="C58" s="32"/>
      <c r="D58" s="28"/>
      <c r="E58" s="28"/>
      <c r="F58" s="28"/>
      <c r="G58" s="28"/>
      <c r="H58" s="28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45">
      <c r="A59" s="35"/>
      <c r="B59" s="32"/>
      <c r="C59" s="32"/>
      <c r="D59" s="28" t="s">
        <v>40</v>
      </c>
      <c r="E59" s="28"/>
      <c r="F59" s="28"/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45">
      <c r="A60" s="32"/>
      <c r="B60" s="32"/>
      <c r="C60" s="32"/>
      <c r="D60" s="28"/>
      <c r="E60" s="28"/>
      <c r="F60" s="28"/>
      <c r="G60" s="28"/>
      <c r="H60" s="28"/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45">
      <c r="A61" s="32"/>
      <c r="B61" s="32"/>
      <c r="C61" s="3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45">
      <c r="A62" s="32"/>
      <c r="B62" s="32"/>
      <c r="C62" s="32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45">
      <c r="A63" s="32"/>
      <c r="B63" s="32"/>
      <c r="C63" s="32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45">
      <c r="A64" s="32"/>
      <c r="B64" s="32"/>
      <c r="C64" s="32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</sheetData>
  <mergeCells count="14">
    <mergeCell ref="C9:F9"/>
    <mergeCell ref="B38:H38"/>
    <mergeCell ref="B35:H35"/>
    <mergeCell ref="B11:H11"/>
    <mergeCell ref="A1:H4"/>
    <mergeCell ref="B37:H37"/>
    <mergeCell ref="B13:H13"/>
    <mergeCell ref="B14:H14"/>
    <mergeCell ref="F15:H15"/>
    <mergeCell ref="B15:D15"/>
    <mergeCell ref="A5:H5"/>
    <mergeCell ref="A6:H6"/>
    <mergeCell ref="C7:F7"/>
    <mergeCell ref="C8:F8"/>
  </mergeCells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abSelected="1" zoomScaleNormal="100" workbookViewId="0">
      <selection activeCell="P37" sqref="P37"/>
    </sheetView>
  </sheetViews>
  <sheetFormatPr defaultColWidth="9.1328125" defaultRowHeight="14.25" x14ac:dyDescent="0.45"/>
  <cols>
    <col min="1" max="1" width="3.3984375" style="8" customWidth="1"/>
    <col min="2" max="2" width="3.86328125" style="8" customWidth="1"/>
    <col min="3" max="3" width="20.86328125" style="8" customWidth="1"/>
    <col min="4" max="4" width="3.86328125" style="8" customWidth="1"/>
    <col min="5" max="5" width="15.86328125" style="8" customWidth="1"/>
    <col min="6" max="6" width="3.86328125" style="8" customWidth="1"/>
    <col min="7" max="7" width="15.86328125" style="8" customWidth="1"/>
    <col min="8" max="8" width="3.86328125" style="8" customWidth="1"/>
    <col min="9" max="9" width="15.86328125" style="8" customWidth="1"/>
    <col min="10" max="10" width="3.86328125" style="8" customWidth="1"/>
    <col min="11" max="11" width="15.86328125" style="8" customWidth="1"/>
    <col min="12" max="12" width="3.86328125" style="8" customWidth="1"/>
    <col min="13" max="13" width="15.86328125" style="8" customWidth="1"/>
    <col min="14" max="19" width="9.1328125" style="30"/>
    <col min="20" max="16384" width="9.1328125" style="8"/>
  </cols>
  <sheetData>
    <row r="1" spans="1:19" ht="24" customHeight="1" x14ac:dyDescent="0.75">
      <c r="A1" s="80" t="s">
        <v>10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9" ht="28.5" customHeight="1" x14ac:dyDescent="0.75">
      <c r="A2" s="81" t="s">
        <v>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9" ht="26.25" customHeight="1" x14ac:dyDescent="0.75">
      <c r="A3" s="80" t="s">
        <v>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9" ht="24.75" customHeight="1" x14ac:dyDescent="0.7">
      <c r="A4" s="41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 x14ac:dyDescent="0.55000000000000004">
      <c r="A6" s="32"/>
      <c r="B6" s="42" t="s">
        <v>14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 x14ac:dyDescent="0.4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" customHeight="1" x14ac:dyDescent="0.45">
      <c r="A8" s="32"/>
      <c r="B8" s="32"/>
      <c r="C8" s="32" t="s">
        <v>15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4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45">
      <c r="N10" s="8"/>
    </row>
    <row r="11" spans="1:19" x14ac:dyDescent="0.45">
      <c r="C11" s="50">
        <v>44317</v>
      </c>
      <c r="E11" s="26">
        <v>1755946.16</v>
      </c>
      <c r="G11" s="26">
        <v>244041.1</v>
      </c>
      <c r="I11" s="26">
        <v>90048.67</v>
      </c>
      <c r="K11" s="26">
        <f>-17368.6+416118.09</f>
        <v>398749.49000000005</v>
      </c>
      <c r="M11" s="26">
        <f>SUM(E11:K11)</f>
        <v>2488785.42</v>
      </c>
      <c r="N11" s="8"/>
    </row>
    <row r="12" spans="1:19" x14ac:dyDescent="0.45">
      <c r="C12" s="25" t="s">
        <v>16</v>
      </c>
      <c r="D12" s="25"/>
      <c r="E12" s="25" t="s">
        <v>17</v>
      </c>
      <c r="F12" s="25"/>
      <c r="G12" s="25" t="s">
        <v>18</v>
      </c>
      <c r="H12" s="25"/>
      <c r="I12" s="25" t="s">
        <v>34</v>
      </c>
      <c r="J12" s="25"/>
      <c r="K12" s="25" t="s">
        <v>35</v>
      </c>
      <c r="L12" s="25"/>
      <c r="M12" s="25" t="s">
        <v>19</v>
      </c>
      <c r="N12" s="8"/>
    </row>
    <row r="13" spans="1:19" x14ac:dyDescent="0.45">
      <c r="N13" s="8"/>
    </row>
    <row r="14" spans="1:19" x14ac:dyDescent="0.45">
      <c r="N14" s="8"/>
    </row>
    <row r="15" spans="1:19" x14ac:dyDescent="0.45">
      <c r="C15" s="50">
        <v>44287</v>
      </c>
      <c r="E15" s="26">
        <v>1810700.08</v>
      </c>
      <c r="G15" s="26">
        <v>743678.64</v>
      </c>
      <c r="I15" s="26">
        <v>-24452.9</v>
      </c>
      <c r="K15" s="26">
        <f>231076.49+376207.99</f>
        <v>607284.47999999998</v>
      </c>
      <c r="M15" s="26">
        <f>SUM(E15,G15,I15,K15)</f>
        <v>3137210.3000000003</v>
      </c>
      <c r="N15" s="8"/>
    </row>
    <row r="16" spans="1:19" x14ac:dyDescent="0.45">
      <c r="C16" s="25" t="s">
        <v>20</v>
      </c>
      <c r="D16" s="25"/>
      <c r="E16" s="25" t="s">
        <v>17</v>
      </c>
      <c r="F16" s="25"/>
      <c r="G16" s="25" t="s">
        <v>18</v>
      </c>
      <c r="H16" s="25"/>
      <c r="I16" s="25" t="s">
        <v>34</v>
      </c>
      <c r="J16" s="25"/>
      <c r="K16" s="25" t="s">
        <v>35</v>
      </c>
      <c r="L16" s="25"/>
      <c r="M16" s="25" t="s">
        <v>19</v>
      </c>
      <c r="N16" s="8"/>
    </row>
    <row r="17" spans="1:19" x14ac:dyDescent="0.45">
      <c r="N17" s="8"/>
    </row>
    <row r="18" spans="1:19" x14ac:dyDescent="0.45">
      <c r="N18" s="8"/>
    </row>
    <row r="19" spans="1:19" x14ac:dyDescent="0.45">
      <c r="C19" s="50">
        <v>43952</v>
      </c>
      <c r="E19" s="26">
        <v>1247687</v>
      </c>
      <c r="G19" s="26">
        <v>456933</v>
      </c>
      <c r="I19" s="26">
        <v>120508</v>
      </c>
      <c r="K19" s="26">
        <v>184060</v>
      </c>
      <c r="M19" s="26">
        <f>SUM(E19:K19)</f>
        <v>2009188</v>
      </c>
      <c r="N19" s="8"/>
    </row>
    <row r="20" spans="1:19" x14ac:dyDescent="0.45">
      <c r="C20" s="25" t="s">
        <v>21</v>
      </c>
      <c r="D20" s="25"/>
      <c r="E20" s="25" t="s">
        <v>17</v>
      </c>
      <c r="F20" s="25"/>
      <c r="G20" s="25" t="s">
        <v>18</v>
      </c>
      <c r="H20" s="25"/>
      <c r="I20" s="25" t="s">
        <v>34</v>
      </c>
      <c r="J20" s="25"/>
      <c r="K20" s="25" t="s">
        <v>35</v>
      </c>
      <c r="L20" s="25"/>
      <c r="M20" s="25" t="s">
        <v>19</v>
      </c>
      <c r="N20" s="8"/>
    </row>
    <row r="21" spans="1:19" x14ac:dyDescent="0.45">
      <c r="N21" s="8"/>
    </row>
    <row r="22" spans="1:19" x14ac:dyDescent="0.45">
      <c r="N22" s="8"/>
    </row>
    <row r="23" spans="1:19" x14ac:dyDescent="0.45">
      <c r="C23" s="50">
        <v>43922</v>
      </c>
      <c r="E23" s="26">
        <v>1297132.2</v>
      </c>
      <c r="G23" s="26">
        <v>519489.73</v>
      </c>
      <c r="I23" s="26">
        <v>172581.83</v>
      </c>
      <c r="K23" s="26">
        <v>145415.70000000001</v>
      </c>
      <c r="M23" s="26">
        <f>SUM(E23,G23,I23,K23)</f>
        <v>2134619.46</v>
      </c>
      <c r="N23" s="8"/>
    </row>
    <row r="24" spans="1:19" x14ac:dyDescent="0.45">
      <c r="C24" s="25" t="s">
        <v>22</v>
      </c>
      <c r="D24" s="25"/>
      <c r="E24" s="25" t="s">
        <v>17</v>
      </c>
      <c r="F24" s="25"/>
      <c r="G24" s="25" t="s">
        <v>18</v>
      </c>
      <c r="H24" s="25"/>
      <c r="I24" s="25" t="s">
        <v>34</v>
      </c>
      <c r="J24" s="25"/>
      <c r="K24" s="25" t="s">
        <v>35</v>
      </c>
      <c r="L24" s="25"/>
      <c r="M24" s="25" t="s">
        <v>19</v>
      </c>
      <c r="N24" s="25"/>
    </row>
    <row r="25" spans="1:19" x14ac:dyDescent="0.4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9" x14ac:dyDescent="0.4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9" ht="18" x14ac:dyDescent="0.55000000000000004">
      <c r="A27" s="32"/>
      <c r="B27" s="42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4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45">
      <c r="A29" s="32"/>
      <c r="B29" s="32"/>
      <c r="C29" s="32" t="s">
        <v>24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4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45">
      <c r="A31" s="43"/>
      <c r="B31" s="43"/>
      <c r="C31" s="43"/>
      <c r="D31" s="43"/>
      <c r="E31" s="43"/>
      <c r="F31" s="43"/>
      <c r="G31" s="43"/>
      <c r="H31" s="4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45">
      <c r="A32" s="43"/>
      <c r="B32" s="43"/>
      <c r="C32" s="50">
        <v>44317</v>
      </c>
      <c r="D32" s="43"/>
      <c r="E32" s="21">
        <v>2056</v>
      </c>
      <c r="F32" s="43"/>
      <c r="G32" s="26">
        <v>615880.46</v>
      </c>
      <c r="H32" s="4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4" ht="28.5" x14ac:dyDescent="0.45">
      <c r="C33" s="25" t="s">
        <v>16</v>
      </c>
      <c r="D33" s="25"/>
      <c r="E33" s="27" t="s">
        <v>25</v>
      </c>
      <c r="F33" s="25"/>
      <c r="G33" s="27" t="s">
        <v>26</v>
      </c>
      <c r="H33" s="25"/>
      <c r="I33" s="40"/>
      <c r="J33" s="40"/>
      <c r="K33" s="40"/>
      <c r="L33" s="40"/>
      <c r="M33" s="40"/>
      <c r="N33" s="40"/>
    </row>
    <row r="34" spans="1:14" x14ac:dyDescent="0.45">
      <c r="I34" s="30"/>
      <c r="J34" s="30"/>
      <c r="K34" s="30"/>
      <c r="L34" s="30"/>
      <c r="M34" s="30"/>
    </row>
    <row r="35" spans="1:14" x14ac:dyDescent="0.45">
      <c r="D35" s="25"/>
      <c r="E35" s="25"/>
      <c r="F35" s="25"/>
      <c r="G35" s="25"/>
      <c r="H35" s="25"/>
      <c r="I35" s="40"/>
      <c r="J35" s="30"/>
      <c r="K35" s="30"/>
      <c r="L35" s="30"/>
      <c r="M35" s="30"/>
    </row>
    <row r="36" spans="1:14" x14ac:dyDescent="0.45">
      <c r="C36" s="50">
        <v>44287</v>
      </c>
      <c r="D36" s="43"/>
      <c r="E36" s="21">
        <v>2693</v>
      </c>
      <c r="F36" s="43"/>
      <c r="G36" s="26">
        <v>627335.42000000004</v>
      </c>
      <c r="H36" s="25"/>
      <c r="I36" s="40"/>
      <c r="J36" s="30"/>
      <c r="K36" s="30"/>
      <c r="L36" s="30"/>
      <c r="M36" s="30"/>
    </row>
    <row r="37" spans="1:14" ht="28.5" x14ac:dyDescent="0.45">
      <c r="C37" s="25" t="s">
        <v>20</v>
      </c>
      <c r="D37" s="25"/>
      <c r="E37" s="27" t="s">
        <v>25</v>
      </c>
      <c r="F37" s="25"/>
      <c r="G37" s="27" t="s">
        <v>26</v>
      </c>
      <c r="H37" s="25"/>
      <c r="I37" s="40"/>
      <c r="J37" s="30"/>
      <c r="K37" s="30"/>
      <c r="L37" s="30"/>
      <c r="M37" s="30"/>
    </row>
    <row r="38" spans="1:14" x14ac:dyDescent="0.45">
      <c r="D38" s="25"/>
      <c r="E38" s="25"/>
      <c r="F38" s="25"/>
      <c r="G38" s="25"/>
      <c r="H38" s="25"/>
      <c r="I38" s="40"/>
      <c r="J38" s="30"/>
      <c r="K38" s="30"/>
      <c r="L38" s="30"/>
      <c r="M38" s="30"/>
    </row>
    <row r="39" spans="1:14" x14ac:dyDescent="0.45">
      <c r="D39" s="25"/>
      <c r="E39" s="25"/>
      <c r="F39" s="25"/>
      <c r="G39" s="25"/>
      <c r="H39" s="25"/>
      <c r="I39" s="40"/>
      <c r="J39" s="30"/>
      <c r="K39" s="30"/>
      <c r="L39" s="30"/>
      <c r="M39" s="30"/>
    </row>
    <row r="40" spans="1:14" x14ac:dyDescent="0.45">
      <c r="C40" s="50">
        <v>43952</v>
      </c>
      <c r="D40" s="25"/>
      <c r="E40" s="21">
        <v>2299</v>
      </c>
      <c r="F40" s="25"/>
      <c r="G40" s="26">
        <v>409861.62</v>
      </c>
      <c r="H40" s="25"/>
      <c r="I40" s="40"/>
      <c r="J40" s="30"/>
      <c r="K40" s="30"/>
      <c r="L40" s="30"/>
      <c r="M40" s="30"/>
    </row>
    <row r="41" spans="1:14" ht="28.5" x14ac:dyDescent="0.45">
      <c r="C41" s="25" t="s">
        <v>21</v>
      </c>
      <c r="D41" s="25"/>
      <c r="E41" s="27" t="s">
        <v>25</v>
      </c>
      <c r="F41" s="25"/>
      <c r="G41" s="27" t="s">
        <v>26</v>
      </c>
      <c r="H41" s="25"/>
      <c r="I41" s="40"/>
      <c r="J41" s="30"/>
      <c r="K41" s="30"/>
      <c r="L41" s="30"/>
      <c r="M41" s="30"/>
    </row>
    <row r="42" spans="1:14" x14ac:dyDescent="0.45">
      <c r="D42" s="25"/>
      <c r="E42" s="25"/>
      <c r="F42" s="25"/>
      <c r="G42" s="25"/>
      <c r="H42" s="25"/>
      <c r="I42" s="40"/>
      <c r="J42" s="30"/>
      <c r="K42" s="30"/>
      <c r="L42" s="30"/>
      <c r="M42" s="30"/>
    </row>
    <row r="43" spans="1:14" x14ac:dyDescent="0.45">
      <c r="D43" s="25"/>
      <c r="E43" s="25"/>
      <c r="F43" s="25"/>
      <c r="G43" s="25"/>
      <c r="H43" s="25"/>
      <c r="I43" s="40"/>
      <c r="J43" s="30"/>
      <c r="K43" s="30"/>
      <c r="L43" s="30"/>
      <c r="M43" s="30"/>
    </row>
    <row r="44" spans="1:14" x14ac:dyDescent="0.45">
      <c r="C44" s="50">
        <v>43922</v>
      </c>
      <c r="D44" s="25"/>
      <c r="E44" s="21">
        <v>2360</v>
      </c>
      <c r="F44" s="25"/>
      <c r="G44" s="26">
        <v>393920.88</v>
      </c>
      <c r="H44" s="25"/>
      <c r="I44" s="40"/>
      <c r="J44" s="30"/>
      <c r="K44" s="30"/>
      <c r="L44" s="30"/>
      <c r="M44" s="30"/>
    </row>
    <row r="45" spans="1:14" ht="28.5" x14ac:dyDescent="0.45">
      <c r="C45" s="25" t="s">
        <v>22</v>
      </c>
      <c r="D45" s="25"/>
      <c r="E45" s="27" t="s">
        <v>25</v>
      </c>
      <c r="F45" s="25"/>
      <c r="G45" s="27" t="s">
        <v>26</v>
      </c>
      <c r="H45" s="25"/>
      <c r="I45" s="40"/>
      <c r="J45" s="30"/>
      <c r="K45" s="30"/>
      <c r="L45" s="30"/>
      <c r="M45" s="30"/>
    </row>
    <row r="46" spans="1:14" x14ac:dyDescent="0.45">
      <c r="C46" s="25"/>
      <c r="D46" s="25"/>
      <c r="E46" s="25"/>
      <c r="F46" s="25"/>
      <c r="G46" s="25"/>
      <c r="H46" s="25"/>
      <c r="I46" s="40"/>
      <c r="J46" s="30"/>
      <c r="K46" s="30"/>
      <c r="L46" s="30"/>
      <c r="M46" s="30"/>
    </row>
    <row r="47" spans="1:14" x14ac:dyDescent="0.4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</row>
    <row r="48" spans="1:14" ht="18" x14ac:dyDescent="0.55000000000000004">
      <c r="A48" s="32"/>
      <c r="B48" s="42" t="s">
        <v>27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</row>
    <row r="49" spans="1:13" x14ac:dyDescent="0.4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</row>
    <row r="50" spans="1:13" x14ac:dyDescent="0.45">
      <c r="A50" s="32"/>
      <c r="B50" s="32"/>
      <c r="C50" s="32" t="s">
        <v>28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</row>
    <row r="51" spans="1:13" x14ac:dyDescent="0.4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</row>
    <row r="52" spans="1:13" x14ac:dyDescent="0.45">
      <c r="C52" s="25"/>
      <c r="D52" s="25"/>
      <c r="E52" s="25"/>
      <c r="F52" s="25"/>
      <c r="G52" s="25"/>
      <c r="H52" s="25"/>
      <c r="I52" s="25"/>
      <c r="K52" s="30"/>
      <c r="L52" s="30"/>
      <c r="M52" s="30"/>
    </row>
    <row r="53" spans="1:13" x14ac:dyDescent="0.45">
      <c r="C53" s="50">
        <v>44317</v>
      </c>
      <c r="D53" s="25"/>
      <c r="E53" s="26">
        <v>1843404</v>
      </c>
      <c r="F53" s="25"/>
      <c r="G53" s="50">
        <v>44287</v>
      </c>
      <c r="H53" s="25"/>
      <c r="I53" s="26">
        <v>2048391</v>
      </c>
      <c r="K53" s="30"/>
      <c r="L53" s="30"/>
      <c r="M53" s="30"/>
    </row>
    <row r="54" spans="1:13" x14ac:dyDescent="0.45">
      <c r="C54" s="25" t="s">
        <v>16</v>
      </c>
      <c r="D54" s="25"/>
      <c r="E54" s="27" t="s">
        <v>29</v>
      </c>
      <c r="F54" s="25"/>
      <c r="G54" s="25" t="s">
        <v>16</v>
      </c>
      <c r="H54" s="25"/>
      <c r="I54" s="27" t="s">
        <v>29</v>
      </c>
      <c r="J54" s="25"/>
      <c r="K54" s="30"/>
      <c r="L54" s="30"/>
      <c r="M54" s="30"/>
    </row>
    <row r="55" spans="1:13" x14ac:dyDescent="0.4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</row>
    <row r="56" spans="1:13" x14ac:dyDescent="0.4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</row>
    <row r="57" spans="1:13" x14ac:dyDescent="0.4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</row>
    <row r="58" spans="1:13" x14ac:dyDescent="0.45">
      <c r="C58" s="50">
        <v>43952</v>
      </c>
      <c r="D58" s="25"/>
      <c r="E58" s="26">
        <v>1465969</v>
      </c>
      <c r="F58" s="25"/>
      <c r="G58" s="50">
        <v>43922</v>
      </c>
      <c r="H58" s="25"/>
      <c r="I58" s="26">
        <v>2018228</v>
      </c>
      <c r="J58" s="25"/>
      <c r="K58" s="30"/>
      <c r="L58" s="30"/>
      <c r="M58" s="30"/>
    </row>
    <row r="59" spans="1:13" ht="28.5" x14ac:dyDescent="0.45">
      <c r="C59" s="27" t="s">
        <v>30</v>
      </c>
      <c r="D59" s="25"/>
      <c r="E59" s="27" t="s">
        <v>29</v>
      </c>
      <c r="F59" s="25"/>
      <c r="G59" s="27" t="s">
        <v>31</v>
      </c>
      <c r="H59" s="25"/>
      <c r="I59" s="27" t="s">
        <v>29</v>
      </c>
      <c r="J59" s="25"/>
      <c r="K59" s="30"/>
      <c r="L59" s="30"/>
      <c r="M59" s="30"/>
    </row>
    <row r="60" spans="1:13" x14ac:dyDescent="0.4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</row>
    <row r="61" spans="1:13" x14ac:dyDescent="0.45">
      <c r="A61" s="30"/>
      <c r="B61" s="30"/>
      <c r="C61" s="40"/>
      <c r="D61" s="40"/>
      <c r="E61" s="40"/>
      <c r="F61" s="40"/>
      <c r="G61" s="40" t="s">
        <v>42</v>
      </c>
      <c r="H61" s="40"/>
      <c r="I61" s="40"/>
      <c r="J61" s="40"/>
      <c r="K61" s="30"/>
      <c r="L61" s="30"/>
      <c r="M61" s="30"/>
    </row>
    <row r="62" spans="1:13" x14ac:dyDescent="0.45">
      <c r="A62" s="30"/>
      <c r="B62" s="30"/>
      <c r="C62" s="40"/>
      <c r="D62" s="40"/>
      <c r="E62" s="40"/>
      <c r="F62" s="40"/>
      <c r="G62" s="30"/>
      <c r="H62" s="40"/>
      <c r="I62" s="40"/>
      <c r="J62" s="40"/>
      <c r="K62" s="30"/>
      <c r="L62" s="30"/>
      <c r="M62" s="30"/>
    </row>
    <row r="63" spans="1:13" x14ac:dyDescent="0.4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45">
      <c r="A64" s="30"/>
      <c r="B64" s="30"/>
      <c r="C64" s="30"/>
      <c r="D64" s="30"/>
      <c r="E64" s="30"/>
      <c r="F64" s="30"/>
      <c r="G64" s="30" t="s">
        <v>44</v>
      </c>
      <c r="H64" s="30"/>
      <c r="I64" s="30"/>
      <c r="J64" s="30"/>
      <c r="K64" s="30"/>
      <c r="L64" s="30"/>
      <c r="M64" s="30"/>
    </row>
    <row r="65" spans="1:13" x14ac:dyDescent="0.4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4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4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4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4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2021-06-11T18:32:56Z</cp:lastPrinted>
  <dcterms:created xsi:type="dcterms:W3CDTF">2020-04-08T14:34:01Z</dcterms:created>
  <dcterms:modified xsi:type="dcterms:W3CDTF">2021-06-11T19:53:11Z</dcterms:modified>
</cp:coreProperties>
</file>